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OneDrive - Instituto Superior de Economia e Gestao da Universidade de Lisboa\ISEG\Pos_Graduacao\Contabilidade e Controlo Gestao\"/>
    </mc:Choice>
  </mc:AlternateContent>
  <xr:revisionPtr revIDLastSave="1" documentId="13_ncr:1_{07662576-B698-4B5A-B754-262BFDEB0ABF}" xr6:coauthVersionLast="44" xr6:coauthVersionMax="44" xr10:uidLastSave="{7CA9103D-188C-4920-9213-64EC08BD45FF}"/>
  <bookViews>
    <workbookView xWindow="-120" yWindow="-120" windowWidth="29040" windowHeight="15840" activeTab="2" xr2:uid="{00000000-000D-0000-FFFF-FFFF00000000}"/>
  </bookViews>
  <sheets>
    <sheet name="Balanço" sheetId="1" r:id="rId1"/>
    <sheet name="Bal Funcional Equi" sheetId="4" r:id="rId2"/>
    <sheet name="Dem Res Cva (2)" sheetId="5" r:id="rId3"/>
    <sheet name="Análise 2.ª parte" sheetId="6" r:id="rId4"/>
    <sheet name="Sheet2" sheetId="2" r:id="rId5"/>
    <sheet name="Sheet3" sheetId="3" r:id="rId6"/>
  </sheets>
  <definedNames>
    <definedName name="Adj_EBITA_P2" localSheetId="2">#REF!</definedName>
    <definedName name="Adj_EBITA_P2">#REF!</definedName>
    <definedName name="_xlnm.Print_Area" localSheetId="3">'Análise 2.ª parte'!$A$21:$E$52</definedName>
    <definedName name="_xlnm.Print_Area" localSheetId="1">'Bal Funcional Equi'!$B$1:$H$98</definedName>
    <definedName name="_xlnm.Print_Area" localSheetId="2">'Dem Res Cva (2)'!$B$1:$E$35</definedName>
    <definedName name="Balanço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Balanço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Balanço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Balanco_para_AF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Balanco_para_AF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Balanco_para_AF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Capex" localSheetId="2">#REF!</definedName>
    <definedName name="Capex">#REF!</definedName>
    <definedName name="Cash" localSheetId="2">#REF!</definedName>
    <definedName name="Cash">#REF!</definedName>
    <definedName name="Cash_Calc" localSheetId="2">#REF!</definedName>
    <definedName name="Cash_Calc">#REF!</definedName>
    <definedName name="Cash_OD" localSheetId="2">#REF!</definedName>
    <definedName name="Cash_OD">#REF!</definedName>
    <definedName name="CashTax_P2" localSheetId="2">#REF!</definedName>
    <definedName name="CashTax_P2">#REF!</definedName>
    <definedName name="COGS" localSheetId="2">#REF!</definedName>
    <definedName name="COGS">#REF!</definedName>
    <definedName name="Currency" localSheetId="2">#REF!</definedName>
    <definedName name="Currency">#REF!</definedName>
    <definedName name="CVY" localSheetId="2">#REF!</definedName>
    <definedName name="CVY">#REF!</definedName>
    <definedName name="CVY_Date" localSheetId="2">#REF!</definedName>
    <definedName name="CVY_Date">#REF!</definedName>
    <definedName name="Dates" localSheetId="2">#REF!</definedName>
    <definedName name="Dates">#REF!</definedName>
    <definedName name="DefTax_Bal" localSheetId="2">#REF!</definedName>
    <definedName name="DefTax_Bal">#REF!</definedName>
    <definedName name="DefTax_Delta" localSheetId="2">#REF!</definedName>
    <definedName name="DefTax_Delta">#REF!</definedName>
    <definedName name="DefTaxA_Bal" localSheetId="2">#REF!</definedName>
    <definedName name="DefTaxA_Bal">#REF!</definedName>
    <definedName name="DefTaxA_Delta" localSheetId="2">#REF!</definedName>
    <definedName name="DefTaxA_Delta">#REF!</definedName>
    <definedName name="Depn" localSheetId="2">#REF!</definedName>
    <definedName name="Depn">#REF!</definedName>
    <definedName name="Div_Bal" localSheetId="2">#REF!</definedName>
    <definedName name="Div_Bal">#REF!</definedName>
    <definedName name="Div_Cash" localSheetId="2">#REF!</definedName>
    <definedName name="Div_Cash">#REF!</definedName>
    <definedName name="Div_Com" localSheetId="2">#REF!</definedName>
    <definedName name="Div_Com">#REF!</definedName>
    <definedName name="DIY" localSheetId="2">#REF!</definedName>
    <definedName name="DIY">#REF!</definedName>
    <definedName name="EBITA_Adj" localSheetId="2">#REF!</definedName>
    <definedName name="EBITA_Adj">#REF!</definedName>
    <definedName name="EMS" localSheetId="2">#REF!</definedName>
    <definedName name="EMS">#REF!</definedName>
    <definedName name="End_DF" localSheetId="2">#REF!</definedName>
    <definedName name="End_DF">#REF!</definedName>
    <definedName name="EP" localSheetId="2">#REF!</definedName>
    <definedName name="EP">#REF!</definedName>
    <definedName name="Equity_Adj" localSheetId="2">#REF!</definedName>
    <definedName name="Equity_Adj">#REF!</definedName>
    <definedName name="Equity_Bal" localSheetId="2">#REF!</definedName>
    <definedName name="Equity_Bal">#REF!</definedName>
    <definedName name="Equity_Bal_BF" localSheetId="2">#REF!</definedName>
    <definedName name="Equity_Bal_BF">#REF!</definedName>
    <definedName name="Equity_Cash" localSheetId="2">#REF!</definedName>
    <definedName name="Equity_Cash">#REF!</definedName>
    <definedName name="ExtraOrdItem" localSheetId="2">#REF!</definedName>
    <definedName name="ExtraOrdItem">#REF!</definedName>
    <definedName name="FA_Hist" localSheetId="2">#REF!</definedName>
    <definedName name="FA_Hist">#REF!</definedName>
    <definedName name="FCF" localSheetId="2">#REF!</definedName>
    <definedName name="FCF">#REF!</definedName>
    <definedName name="FFA" localSheetId="2">#REF!</definedName>
    <definedName name="FFA">#REF!</definedName>
    <definedName name="FluxosCaixa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luxosCaixa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luxosCaixa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FY" localSheetId="2">#REF!</definedName>
    <definedName name="FY">#REF!</definedName>
    <definedName name="g" localSheetId="2">#REF!</definedName>
    <definedName name="g">#REF!</definedName>
    <definedName name="Group" localSheetId="2">#REF!</definedName>
    <definedName name="Group">#REF!</definedName>
    <definedName name="GW_Amort" localSheetId="2">#REF!</definedName>
    <definedName name="GW_Amort">#REF!</definedName>
    <definedName name="GW_Bal" localSheetId="2">#REF!</definedName>
    <definedName name="GW_Bal">#REF!</definedName>
    <definedName name="GW_Cash" localSheetId="2">#REF!</definedName>
    <definedName name="GW_Cash">#REF!</definedName>
    <definedName name="GW_Cum" localSheetId="2">#REF!</definedName>
    <definedName name="GW_Cum">#REF!</definedName>
    <definedName name="GW_Init" localSheetId="2">#REF!</definedName>
    <definedName name="GW_Init">#REF!</definedName>
    <definedName name="GW_Writeoff" localSheetId="2">#REF!</definedName>
    <definedName name="GW_Writeoff">#REF!</definedName>
    <definedName name="High" localSheetId="2">#REF!</definedName>
    <definedName name="High">#REF!</definedName>
    <definedName name="Int_Exp" localSheetId="2">#REF!</definedName>
    <definedName name="Int_Exp">#REF!</definedName>
    <definedName name="Int_Exp_Excl_OD" localSheetId="2">#REF!</definedName>
    <definedName name="Int_Exp_Excl_OD">#REF!</definedName>
    <definedName name="Int_Inc" localSheetId="2">#REF!</definedName>
    <definedName name="Int_Inc">#REF!</definedName>
    <definedName name="Intang_Amort" localSheetId="2">#REF!</definedName>
    <definedName name="Intang_Amort">#REF!</definedName>
    <definedName name="Intang_Bal" localSheetId="2">#REF!</definedName>
    <definedName name="Intang_Bal">#REF!</definedName>
    <definedName name="Intang_Cash" localSheetId="2">#REF!</definedName>
    <definedName name="Intang_Cash">#REF!</definedName>
    <definedName name="Intang_Init" localSheetId="2">#REF!</definedName>
    <definedName name="Intang_Init">#REF!</definedName>
    <definedName name="Inv" localSheetId="2">#REF!</definedName>
    <definedName name="Inv">#REF!</definedName>
    <definedName name="Inv_Bal" localSheetId="2">#REF!</definedName>
    <definedName name="Inv_Bal">#REF!</definedName>
    <definedName name="Inv_Cap" localSheetId="2">#REF!</definedName>
    <definedName name="Inv_Cap">#REF!</definedName>
    <definedName name="Inv_Cap_P2" localSheetId="2">#REF!</definedName>
    <definedName name="Inv_Cap_P2">#REF!</definedName>
    <definedName name="Inv_CapP_P2" localSheetId="2">#REF!</definedName>
    <definedName name="Inv_CapP_P2">#REF!</definedName>
    <definedName name="Inv_Cash" localSheetId="2">#REF!</definedName>
    <definedName name="Inv_Cash">#REF!</definedName>
    <definedName name="Low" localSheetId="2">#REF!</definedName>
    <definedName name="Low">#REF!</definedName>
    <definedName name="LTD_Bal" localSheetId="2">#REF!</definedName>
    <definedName name="LTD_Bal">#REF!</definedName>
    <definedName name="LTD_Cash" localSheetId="2">#REF!</definedName>
    <definedName name="LTD_Cash">#REF!</definedName>
    <definedName name="Min_Bal" localSheetId="2">#REF!</definedName>
    <definedName name="Min_Bal">#REF!</definedName>
    <definedName name="Min_Cash" localSheetId="2">#REF!</definedName>
    <definedName name="Min_Cash">#REF!</definedName>
    <definedName name="Min_Prof" localSheetId="2">#REF!</definedName>
    <definedName name="Min_Prof">#REF!</definedName>
    <definedName name="MIY" localSheetId="2">#REF!</definedName>
    <definedName name="MIY">#REF!</definedName>
    <definedName name="MV_Debt" localSheetId="2">#REF!</definedName>
    <definedName name="MV_Debt">#REF!</definedName>
    <definedName name="MV_Min" localSheetId="2">#REF!</definedName>
    <definedName name="MV_Min">#REF!</definedName>
    <definedName name="MV_OpLease" localSheetId="2">#REF!</definedName>
    <definedName name="MV_OpLease">#REF!</definedName>
    <definedName name="MV_Prefs" localSheetId="2">#REF!</definedName>
    <definedName name="MV_Prefs">#REF!</definedName>
    <definedName name="MV_Restr" localSheetId="2">#REF!</definedName>
    <definedName name="MV_Restr">#REF!</definedName>
    <definedName name="MV_RetRel" localSheetId="2">#REF!</definedName>
    <definedName name="MV_RetRel">#REF!</definedName>
    <definedName name="MYAF" localSheetId="2">#REF!</definedName>
    <definedName name="MYAF">#REF!</definedName>
    <definedName name="Name" localSheetId="2">#REF!</definedName>
    <definedName name="Name">#REF!</definedName>
    <definedName name="Net_Inv_P2" localSheetId="2">#REF!</definedName>
    <definedName name="Net_Inv_P2">#REF!</definedName>
    <definedName name="NOA_Bal" localSheetId="2">#REF!</definedName>
    <definedName name="NOA_Bal">#REF!</definedName>
    <definedName name="NOA_Cash" localSheetId="2">#REF!</definedName>
    <definedName name="NOA_Cash">#REF!</definedName>
    <definedName name="NOI" localSheetId="2">#REF!</definedName>
    <definedName name="NOI">#REF!</definedName>
    <definedName name="NOPLAT" localSheetId="2">#REF!</definedName>
    <definedName name="NOPLAT">#REF!</definedName>
    <definedName name="NOPLAT_P2" localSheetId="2">#REF!</definedName>
    <definedName name="NOPLAT_P2">#REF!</definedName>
    <definedName name="OCA" localSheetId="2">#REF!</definedName>
    <definedName name="OCA">#REF!</definedName>
    <definedName name="OCL" localSheetId="2">#REF!</definedName>
    <definedName name="OCL">#REF!</definedName>
    <definedName name="OD" localSheetId="2">#REF!</definedName>
    <definedName name="OD">#REF!</definedName>
    <definedName name="One" localSheetId="2">#REF!</definedName>
    <definedName name="One">#REF!</definedName>
    <definedName name="OOA_Bal" localSheetId="2">#REF!</definedName>
    <definedName name="OOA_Bal">#REF!</definedName>
    <definedName name="OOA_Cash" localSheetId="2">#REF!</definedName>
    <definedName name="OOA_Cash">#REF!</definedName>
    <definedName name="OOE" localSheetId="2">#REF!</definedName>
    <definedName name="OOE">#REF!</definedName>
    <definedName name="OOL_Bal" localSheetId="2">#REF!</definedName>
    <definedName name="OOL_Bal">#REF!</definedName>
    <definedName name="OOL_Cash" localSheetId="2">#REF!</definedName>
    <definedName name="OOL_Cash">#REF!</definedName>
    <definedName name="OOR" localSheetId="2">#REF!</definedName>
    <definedName name="OOR">#REF!</definedName>
    <definedName name="OpCash" localSheetId="2">#REF!</definedName>
    <definedName name="OpCash">#REF!</definedName>
    <definedName name="OpLease_Bal" localSheetId="2">#REF!</definedName>
    <definedName name="OpLease_Bal">#REF!</definedName>
    <definedName name="OpLease_Cash" localSheetId="2">#REF!</definedName>
    <definedName name="OpLease_Cash">#REF!</definedName>
    <definedName name="OpLease_Int" localSheetId="2">#REF!</definedName>
    <definedName name="OpLease_Int">#REF!</definedName>
    <definedName name="Options" localSheetId="2">#REF!</definedName>
    <definedName name="Options">#REF!</definedName>
    <definedName name="Pen_Excess" localSheetId="2">#REF!</definedName>
    <definedName name="Pen_Excess">#REF!</definedName>
    <definedName name="PPE_Net" localSheetId="2">#REF!</definedName>
    <definedName name="PPE_Net">#REF!</definedName>
    <definedName name="Prefs_Bal" localSheetId="2">#REF!</definedName>
    <definedName name="Prefs_Bal">#REF!</definedName>
    <definedName name="Prefs_Cash" localSheetId="2">#REF!</definedName>
    <definedName name="Prefs_Cash">#REF!</definedName>
    <definedName name="Prefs_Div" localSheetId="2">#REF!</definedName>
    <definedName name="Prefs_Div">#REF!</definedName>
    <definedName name="Prefs_No" localSheetId="2">#REF!</definedName>
    <definedName name="Prefs_No">#REF!</definedName>
    <definedName name="Prov_Bal" localSheetId="2">#REF!</definedName>
    <definedName name="Prov_Bal">#REF!</definedName>
    <definedName name="Prov_Cash" localSheetId="2">#REF!</definedName>
    <definedName name="Prov_Cash">#REF!</definedName>
    <definedName name="Restr_Bal" localSheetId="2">#REF!</definedName>
    <definedName name="Restr_Bal">#REF!</definedName>
    <definedName name="Restr_Cash" localSheetId="2">#REF!</definedName>
    <definedName name="Restr_Cash">#REF!</definedName>
    <definedName name="Restr_Prof" localSheetId="2">#REF!</definedName>
    <definedName name="Restr_Prof">#REF!</definedName>
    <definedName name="RetRel_Bal" localSheetId="2">#REF!</definedName>
    <definedName name="RetRel_Bal">#REF!</definedName>
    <definedName name="RetRel_Cash" localSheetId="2">#REF!</definedName>
    <definedName name="RetRel_Cash">#REF!</definedName>
    <definedName name="RetRel_Int" localSheetId="2">#REF!</definedName>
    <definedName name="RetRel_Int">#REF!</definedName>
    <definedName name="Rev" localSheetId="2">#REF!</definedName>
    <definedName name="Rev">#REF!</definedName>
    <definedName name="Rev_P2" localSheetId="2">#REF!</definedName>
    <definedName name="Rev_P2">#REF!</definedName>
    <definedName name="ROIC" localSheetId="2">#REF!</definedName>
    <definedName name="ROIC">#REF!</definedName>
    <definedName name="Scenario" localSheetId="2">#REF!</definedName>
    <definedName name="Scenario">#REF!</definedName>
    <definedName name="SGA" localSheetId="2">#REF!</definedName>
    <definedName name="SGA">#REF!</definedName>
    <definedName name="Shares_Av" localSheetId="2">#REF!</definedName>
    <definedName name="Shares_Av">#REF!</definedName>
    <definedName name="Shares_FD_Av" localSheetId="2">#REF!</definedName>
    <definedName name="Shares_FD_Av">#REF!</definedName>
    <definedName name="Shares_FD_YE" localSheetId="2">#REF!</definedName>
    <definedName name="Shares_FD_YE">#REF!</definedName>
    <definedName name="Shares_YE" localSheetId="2">#REF!</definedName>
    <definedName name="Shares_YE">#REF!</definedName>
    <definedName name="Shares1" localSheetId="2">#REF!</definedName>
    <definedName name="Shares1">#REF!</definedName>
    <definedName name="Shares2" localSheetId="2">#REF!</definedName>
    <definedName name="Shares2">#REF!</definedName>
    <definedName name="Shares3" localSheetId="2">#REF!</definedName>
    <definedName name="Shares3">#REF!</definedName>
    <definedName name="SpecItem" localSheetId="2">#REF!</definedName>
    <definedName name="SpecItem">#REF!</definedName>
    <definedName name="STD_Bal" localSheetId="2">#REF!</definedName>
    <definedName name="STD_Bal">#REF!</definedName>
    <definedName name="STD_Cash" localSheetId="2">#REF!</definedName>
    <definedName name="STD_Cash">#REF!</definedName>
    <definedName name="Tax_Charge" localSheetId="2">#REF!</definedName>
    <definedName name="Tax_Charge">#REF!</definedName>
    <definedName name="Tax_Cred_Bal" localSheetId="2">#REF!</definedName>
    <definedName name="Tax_Cred_Bal">#REF!</definedName>
    <definedName name="Tax_Cred_Delta" localSheetId="2">#REF!</definedName>
    <definedName name="Tax_Cred_Delta">#REF!</definedName>
    <definedName name="Tax_Paid" localSheetId="2">#REF!</definedName>
    <definedName name="Tax_Paid">#REF!</definedName>
    <definedName name="TaxRateMarg" localSheetId="2">#REF!</definedName>
    <definedName name="TaxRateMarg">#REF!</definedName>
    <definedName name="TradCred" localSheetId="2">#REF!</definedName>
    <definedName name="TradCred">#REF!</definedName>
    <definedName name="TradDebt" localSheetId="2">#REF!</definedName>
    <definedName name="TradDebt">#REF!</definedName>
    <definedName name="Translation" localSheetId="2">#REF!</definedName>
    <definedName name="Translation">#REF!</definedName>
    <definedName name="Unit_label" localSheetId="2">#REF!</definedName>
    <definedName name="Unit_label">#REF!</definedName>
    <definedName name="Units" localSheetId="2">#REF!</definedName>
    <definedName name="Units">#REF!</definedName>
    <definedName name="Val_Date" localSheetId="2">#REF!</definedName>
    <definedName name="Val_Date">#REF!</definedName>
    <definedName name="WACC" localSheetId="2">#REF!</definedName>
    <definedName name="WACC">#REF!</definedName>
    <definedName name="WACCF" localSheetId="2">#REF!</definedName>
    <definedName name="WACCF">#REF!</definedName>
    <definedName name="WC_Bal" localSheetId="2">#REF!</definedName>
    <definedName name="WC_Bal">#REF!</definedName>
    <definedName name="WC_Delta" localSheetId="2">#REF!</definedName>
    <definedName name="WC_Delta">#REF!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YE" localSheetId="2">#REF!</definedName>
    <definedName name="YE">#REF!</definedName>
    <definedName name="Year" localSheetId="2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5" l="1"/>
  <c r="D91" i="4" l="1"/>
  <c r="C91" i="4"/>
  <c r="D90" i="4"/>
  <c r="C90" i="4"/>
  <c r="C96" i="4" s="1"/>
  <c r="D95" i="4"/>
  <c r="C95" i="4"/>
  <c r="D89" i="4"/>
  <c r="D94" i="4" s="1"/>
  <c r="C89" i="4"/>
  <c r="C94" i="4" s="1"/>
  <c r="C29" i="5"/>
  <c r="W10" i="1"/>
  <c r="D29" i="5" s="1"/>
  <c r="D47" i="4"/>
  <c r="D39" i="4" s="1"/>
  <c r="C47" i="4"/>
  <c r="C39" i="4" s="1"/>
  <c r="D44" i="4"/>
  <c r="C44" i="4"/>
  <c r="C52" i="4" s="1"/>
  <c r="D33" i="4"/>
  <c r="D31" i="4"/>
  <c r="D30" i="4"/>
  <c r="D29" i="4"/>
  <c r="C33" i="4"/>
  <c r="C31" i="4"/>
  <c r="C30" i="4"/>
  <c r="C29" i="4"/>
  <c r="C9" i="1"/>
  <c r="C18" i="1"/>
  <c r="D38" i="4"/>
  <c r="C38" i="4"/>
  <c r="D4" i="4"/>
  <c r="C4" i="4"/>
  <c r="D3" i="4"/>
  <c r="C3" i="4"/>
  <c r="Q9" i="1"/>
  <c r="Q8" i="1"/>
  <c r="L28" i="1"/>
  <c r="Q17" i="1"/>
  <c r="C23" i="1" l="1"/>
  <c r="D96" i="4"/>
  <c r="D98" i="4" s="1"/>
  <c r="C98" i="4"/>
  <c r="X22" i="1"/>
  <c r="X20" i="1"/>
  <c r="X19" i="1"/>
  <c r="X17" i="1"/>
  <c r="X16" i="1"/>
  <c r="X14" i="1"/>
  <c r="X13" i="1"/>
  <c r="X12" i="1"/>
  <c r="X11" i="1"/>
  <c r="X10" i="1"/>
  <c r="X9" i="1"/>
  <c r="X8" i="1"/>
  <c r="X7" i="1"/>
  <c r="X6" i="1"/>
  <c r="X5" i="1"/>
  <c r="X4" i="1"/>
  <c r="Y3" i="1"/>
  <c r="Q27" i="1"/>
  <c r="Q26" i="1"/>
  <c r="Q25" i="1"/>
  <c r="Q24" i="1"/>
  <c r="Q23" i="1"/>
  <c r="Q22" i="1"/>
  <c r="Q19" i="1"/>
  <c r="Q15" i="1"/>
  <c r="Q10" i="1"/>
  <c r="Q7" i="1"/>
  <c r="Q6" i="1"/>
  <c r="Q5" i="1"/>
  <c r="Q4" i="1"/>
  <c r="Y22" i="1" l="1"/>
  <c r="Y20" i="1"/>
  <c r="Y19" i="1"/>
  <c r="Y17" i="1"/>
  <c r="Y16" i="1"/>
  <c r="Y14" i="1"/>
  <c r="Y13" i="1"/>
  <c r="Y12" i="1"/>
  <c r="Y11" i="1"/>
  <c r="Y10" i="1"/>
  <c r="Y9" i="1"/>
  <c r="Y8" i="1"/>
  <c r="Y7" i="1"/>
  <c r="Y6" i="1"/>
  <c r="Y5" i="1"/>
  <c r="Y4" i="1"/>
  <c r="U22" i="1"/>
  <c r="U20" i="1"/>
  <c r="U19" i="1"/>
  <c r="U17" i="1"/>
  <c r="U16" i="1"/>
  <c r="U14" i="1"/>
  <c r="U13" i="1"/>
  <c r="U12" i="1"/>
  <c r="U11" i="1"/>
  <c r="U10" i="1"/>
  <c r="U9" i="1"/>
  <c r="U8" i="1"/>
  <c r="U7" i="1"/>
  <c r="U6" i="1"/>
  <c r="U5" i="1"/>
  <c r="U4" i="1"/>
  <c r="I17" i="1"/>
  <c r="I16" i="1"/>
  <c r="I15" i="1"/>
  <c r="I14" i="1"/>
  <c r="I13" i="1"/>
  <c r="I12" i="1"/>
  <c r="I8" i="1"/>
  <c r="I7" i="1"/>
  <c r="I6" i="1"/>
  <c r="I4" i="1"/>
  <c r="D17" i="4" l="1"/>
  <c r="C17" i="4"/>
  <c r="D16" i="4"/>
  <c r="C16" i="4"/>
  <c r="F18" i="1"/>
  <c r="I5" i="1" l="1"/>
  <c r="F9" i="1"/>
  <c r="D31" i="5"/>
  <c r="C31" i="5"/>
  <c r="D7" i="5"/>
  <c r="D6" i="5"/>
  <c r="D27" i="5"/>
  <c r="C27" i="5"/>
  <c r="D22" i="5"/>
  <c r="C22" i="5"/>
  <c r="C18" i="5"/>
  <c r="D21" i="5"/>
  <c r="C21" i="5"/>
  <c r="D16" i="5"/>
  <c r="D17" i="5"/>
  <c r="C17" i="5"/>
  <c r="C16" i="5"/>
  <c r="D10" i="5"/>
  <c r="C10" i="5"/>
  <c r="C14" i="5" s="1"/>
  <c r="C7" i="5"/>
  <c r="C6" i="5"/>
  <c r="D4" i="5"/>
  <c r="C4" i="5"/>
  <c r="D3" i="5"/>
  <c r="C3" i="5"/>
  <c r="D32" i="4"/>
  <c r="C32" i="4"/>
  <c r="D37" i="4"/>
  <c r="C37" i="4"/>
  <c r="D36" i="4"/>
  <c r="C36" i="4"/>
  <c r="D18" i="4"/>
  <c r="C18" i="4"/>
  <c r="D12" i="4"/>
  <c r="C12" i="4"/>
  <c r="D8" i="4"/>
  <c r="D7" i="4"/>
  <c r="C8" i="4"/>
  <c r="C7" i="4"/>
  <c r="I9" i="1" l="1"/>
  <c r="C5" i="5"/>
  <c r="G85" i="4" s="1"/>
  <c r="D20" i="4"/>
  <c r="H79" i="4" s="1"/>
  <c r="C5" i="4"/>
  <c r="C62" i="4" s="1"/>
  <c r="D5" i="4"/>
  <c r="D62" i="4" s="1"/>
  <c r="C20" i="4"/>
  <c r="C34" i="4"/>
  <c r="C41" i="4"/>
  <c r="G77" i="4" s="1"/>
  <c r="G87" i="4" s="1"/>
  <c r="C19" i="5"/>
  <c r="D34" i="4"/>
  <c r="D68" i="4" s="1"/>
  <c r="D5" i="5"/>
  <c r="D14" i="5"/>
  <c r="D13" i="4"/>
  <c r="D18" i="5"/>
  <c r="D19" i="5" s="1"/>
  <c r="C13" i="4"/>
  <c r="G76" i="4" s="1"/>
  <c r="G86" i="4" s="1"/>
  <c r="D41" i="4"/>
  <c r="H77" i="4" s="1"/>
  <c r="W15" i="1"/>
  <c r="T15" i="1"/>
  <c r="O28" i="1"/>
  <c r="O20" i="1"/>
  <c r="L20" i="1"/>
  <c r="O11" i="1"/>
  <c r="D27" i="4" s="1"/>
  <c r="L11" i="1"/>
  <c r="C27" i="4" s="1"/>
  <c r="D9" i="5" l="1"/>
  <c r="H85" i="4"/>
  <c r="C68" i="4"/>
  <c r="G73" i="4"/>
  <c r="Q20" i="1"/>
  <c r="Q11" i="1"/>
  <c r="T18" i="1"/>
  <c r="Y15" i="1"/>
  <c r="U15" i="1"/>
  <c r="Q28" i="1"/>
  <c r="I18" i="1"/>
  <c r="W18" i="1"/>
  <c r="X15" i="1"/>
  <c r="H74" i="4"/>
  <c r="C9" i="5"/>
  <c r="C15" i="5" s="1"/>
  <c r="D5" i="6" s="1"/>
  <c r="D64" i="4"/>
  <c r="O29" i="1"/>
  <c r="L29" i="1"/>
  <c r="G74" i="4"/>
  <c r="D22" i="4"/>
  <c r="C64" i="4"/>
  <c r="G79" i="4"/>
  <c r="D18" i="1"/>
  <c r="F23" i="1"/>
  <c r="D6" i="6"/>
  <c r="D10" i="6"/>
  <c r="G78" i="4"/>
  <c r="D24" i="4"/>
  <c r="H8" i="4" s="1"/>
  <c r="H76" i="4"/>
  <c r="E6" i="6"/>
  <c r="E10" i="6"/>
  <c r="D15" i="5"/>
  <c r="H87" i="4"/>
  <c r="D63" i="4"/>
  <c r="C22" i="4"/>
  <c r="C63" i="4"/>
  <c r="C24" i="4"/>
  <c r="G20" i="4" s="1"/>
  <c r="W21" i="1" l="1"/>
  <c r="X18" i="1"/>
  <c r="L30" i="1"/>
  <c r="Q29" i="1"/>
  <c r="G17" i="1"/>
  <c r="G8" i="1"/>
  <c r="G16" i="1"/>
  <c r="G7" i="1"/>
  <c r="G6" i="1"/>
  <c r="G4" i="1"/>
  <c r="G12" i="1"/>
  <c r="G15" i="1"/>
  <c r="G14" i="1"/>
  <c r="G13" i="1"/>
  <c r="G5" i="1"/>
  <c r="G18" i="1"/>
  <c r="G9" i="1"/>
  <c r="I23" i="1"/>
  <c r="D17" i="1"/>
  <c r="D8" i="1"/>
  <c r="D14" i="1"/>
  <c r="D16" i="1"/>
  <c r="D7" i="1"/>
  <c r="D6" i="1"/>
  <c r="D15" i="1"/>
  <c r="D13" i="1"/>
  <c r="D4" i="1"/>
  <c r="D12" i="1"/>
  <c r="D5" i="1"/>
  <c r="D9" i="1"/>
  <c r="T21" i="1"/>
  <c r="U18" i="1"/>
  <c r="Y18" i="1"/>
  <c r="O30" i="1"/>
  <c r="P9" i="1" s="1"/>
  <c r="D32" i="6"/>
  <c r="C20" i="5"/>
  <c r="C84" i="4" s="1"/>
  <c r="H18" i="4"/>
  <c r="H9" i="4"/>
  <c r="H12" i="4"/>
  <c r="H5" i="4"/>
  <c r="H19" i="4"/>
  <c r="H11" i="4"/>
  <c r="H24" i="4"/>
  <c r="H17" i="4"/>
  <c r="H20" i="4"/>
  <c r="H7" i="4"/>
  <c r="H10" i="4"/>
  <c r="H3" i="4"/>
  <c r="H4" i="4"/>
  <c r="H22" i="4"/>
  <c r="H16" i="4"/>
  <c r="H15" i="4"/>
  <c r="G4" i="4"/>
  <c r="D25" i="6"/>
  <c r="C67" i="4"/>
  <c r="G75" i="4"/>
  <c r="G81" i="4" s="1"/>
  <c r="E5" i="6"/>
  <c r="E11" i="6" s="1"/>
  <c r="E12" i="6" s="1"/>
  <c r="E32" i="6"/>
  <c r="D11" i="6"/>
  <c r="D12" i="6" s="1"/>
  <c r="D4" i="6"/>
  <c r="D7" i="6" s="1"/>
  <c r="H86" i="4"/>
  <c r="H78" i="4"/>
  <c r="D20" i="5"/>
  <c r="H13" i="4"/>
  <c r="E25" i="6"/>
  <c r="G5" i="4"/>
  <c r="C65" i="4"/>
  <c r="G63" i="4" s="1"/>
  <c r="D65" i="4"/>
  <c r="H63" i="4" s="1"/>
  <c r="G22" i="4"/>
  <c r="G13" i="4"/>
  <c r="G7" i="4"/>
  <c r="G19" i="4"/>
  <c r="G3" i="4"/>
  <c r="G15" i="4"/>
  <c r="G24" i="4"/>
  <c r="G12" i="4"/>
  <c r="G16" i="4"/>
  <c r="G10" i="4"/>
  <c r="G17" i="4"/>
  <c r="G11" i="4"/>
  <c r="G9" i="4"/>
  <c r="G18" i="4"/>
  <c r="G8" i="4"/>
  <c r="P17" i="1" l="1"/>
  <c r="P8" i="1"/>
  <c r="M18" i="1"/>
  <c r="M17" i="1"/>
  <c r="M16" i="1"/>
  <c r="M29" i="1"/>
  <c r="M8" i="1"/>
  <c r="M9" i="1"/>
  <c r="T23" i="1"/>
  <c r="Y21" i="1"/>
  <c r="U21" i="1"/>
  <c r="M4" i="1"/>
  <c r="M19" i="1"/>
  <c r="M24" i="1"/>
  <c r="M5" i="1"/>
  <c r="M27" i="1"/>
  <c r="M15" i="1"/>
  <c r="M26" i="1"/>
  <c r="M25" i="1"/>
  <c r="M22" i="1"/>
  <c r="M10" i="1"/>
  <c r="M6" i="1"/>
  <c r="Q30" i="1"/>
  <c r="M7" i="1"/>
  <c r="M23" i="1"/>
  <c r="M20" i="1"/>
  <c r="M11" i="1"/>
  <c r="M28" i="1"/>
  <c r="P19" i="1"/>
  <c r="P5" i="1"/>
  <c r="P27" i="1"/>
  <c r="P15" i="1"/>
  <c r="P10" i="1"/>
  <c r="P26" i="1"/>
  <c r="P22" i="1"/>
  <c r="P25" i="1"/>
  <c r="P4" i="1"/>
  <c r="P24" i="1"/>
  <c r="P7" i="1"/>
  <c r="P23" i="1"/>
  <c r="P6" i="1"/>
  <c r="P28" i="1"/>
  <c r="P11" i="1"/>
  <c r="P20" i="1"/>
  <c r="W23" i="1"/>
  <c r="X21" i="1"/>
  <c r="P29" i="1"/>
  <c r="C23" i="5"/>
  <c r="C25" i="5" s="1"/>
  <c r="E4" i="6"/>
  <c r="E7" i="6" s="1"/>
  <c r="D23" i="5"/>
  <c r="D25" i="5" s="1"/>
  <c r="D84" i="4"/>
  <c r="H65" i="4"/>
  <c r="H64" i="4"/>
  <c r="H62" i="4"/>
  <c r="G65" i="4"/>
  <c r="G64" i="4"/>
  <c r="G62" i="4"/>
  <c r="D14" i="6" l="1"/>
  <c r="D23" i="6"/>
  <c r="D33" i="6"/>
  <c r="D34" i="6" s="1"/>
  <c r="X23" i="1"/>
  <c r="Y23" i="1"/>
  <c r="U23" i="1"/>
  <c r="G34" i="6"/>
  <c r="C28" i="5"/>
  <c r="D16" i="6" s="1"/>
  <c r="D28" i="5"/>
  <c r="E16" i="6" s="1"/>
  <c r="E23" i="6"/>
  <c r="E33" i="6"/>
  <c r="E34" i="6" s="1"/>
  <c r="E14" i="6"/>
  <c r="C30" i="5" l="1"/>
  <c r="C32" i="5" s="1"/>
  <c r="D40" i="6"/>
  <c r="D18" i="6"/>
  <c r="D67" i="4"/>
  <c r="H73" i="4"/>
  <c r="H75" i="4" s="1"/>
  <c r="H81" i="4" s="1"/>
  <c r="D52" i="4"/>
  <c r="D56" i="4" s="1"/>
  <c r="H46" i="4" s="1"/>
  <c r="D30" i="5"/>
  <c r="E40" i="6"/>
  <c r="E18" i="6"/>
  <c r="C34" i="5" l="1"/>
  <c r="D44" i="6"/>
  <c r="D78" i="4"/>
  <c r="H45" i="4"/>
  <c r="H34" i="4"/>
  <c r="H30" i="4"/>
  <c r="H31" i="4"/>
  <c r="H51" i="4"/>
  <c r="H56" i="4"/>
  <c r="H57" i="4" s="1"/>
  <c r="H43" i="4"/>
  <c r="H49" i="4"/>
  <c r="H50" i="4"/>
  <c r="H40" i="4"/>
  <c r="H44" i="4"/>
  <c r="D57" i="4"/>
  <c r="H48" i="4"/>
  <c r="H33" i="4"/>
  <c r="H36" i="4"/>
  <c r="H38" i="4"/>
  <c r="H32" i="4"/>
  <c r="H29" i="4"/>
  <c r="H39" i="4"/>
  <c r="H41" i="4"/>
  <c r="H37" i="4"/>
  <c r="H27" i="4"/>
  <c r="H47" i="4"/>
  <c r="D54" i="4"/>
  <c r="D69" i="4"/>
  <c r="D70" i="4" s="1"/>
  <c r="H80" i="4"/>
  <c r="H52" i="4"/>
  <c r="G80" i="4"/>
  <c r="C54" i="4"/>
  <c r="C69" i="4"/>
  <c r="C56" i="4"/>
  <c r="D47" i="6"/>
  <c r="D24" i="6"/>
  <c r="D26" i="6" s="1"/>
  <c r="D34" i="5"/>
  <c r="E44" i="6"/>
  <c r="G30" i="5"/>
  <c r="D32" i="5"/>
  <c r="G52" i="4" l="1"/>
  <c r="G46" i="4"/>
  <c r="H67" i="4"/>
  <c r="E39" i="6"/>
  <c r="E41" i="6" s="1"/>
  <c r="E35" i="6"/>
  <c r="E36" i="6" s="1"/>
  <c r="H68" i="4"/>
  <c r="H70" i="4"/>
  <c r="D75" i="4"/>
  <c r="H54" i="4"/>
  <c r="D81" i="4"/>
  <c r="D77" i="4"/>
  <c r="D80" i="4"/>
  <c r="D74" i="4"/>
  <c r="C78" i="4"/>
  <c r="G40" i="4"/>
  <c r="G44" i="4"/>
  <c r="G38" i="4"/>
  <c r="G32" i="4"/>
  <c r="G33" i="4"/>
  <c r="G31" i="4"/>
  <c r="G29" i="4"/>
  <c r="G41" i="4"/>
  <c r="G34" i="4"/>
  <c r="G51" i="4"/>
  <c r="G36" i="4"/>
  <c r="G27" i="4"/>
  <c r="G45" i="4"/>
  <c r="G37" i="4"/>
  <c r="C57" i="4"/>
  <c r="G49" i="4"/>
  <c r="G39" i="4"/>
  <c r="G30" i="4"/>
  <c r="G56" i="4"/>
  <c r="G57" i="4" s="1"/>
  <c r="G48" i="4"/>
  <c r="G50" i="4"/>
  <c r="G43" i="4"/>
  <c r="G47" i="4"/>
  <c r="H69" i="4"/>
  <c r="C70" i="4"/>
  <c r="C77" i="4"/>
  <c r="G54" i="4"/>
  <c r="C74" i="4"/>
  <c r="C80" i="4"/>
  <c r="C75" i="4"/>
  <c r="C81" i="4"/>
  <c r="D35" i="5"/>
  <c r="E47" i="6"/>
  <c r="E24" i="6"/>
  <c r="E26" i="6" s="1"/>
  <c r="C86" i="4"/>
  <c r="G83" i="4" s="1"/>
  <c r="C83" i="4"/>
  <c r="J36" i="6" l="1"/>
  <c r="G36" i="6"/>
  <c r="E49" i="6"/>
  <c r="G70" i="4"/>
  <c r="D39" i="6"/>
  <c r="D41" i="6" s="1"/>
  <c r="G68" i="4"/>
  <c r="D35" i="6"/>
  <c r="D36" i="6" s="1"/>
  <c r="G67" i="4"/>
  <c r="G69" i="4"/>
  <c r="D86" i="4"/>
  <c r="H83" i="4" s="1"/>
  <c r="D83" i="4"/>
  <c r="D49" i="6" l="1"/>
</calcChain>
</file>

<file path=xl/sharedStrings.xml><?xml version="1.0" encoding="utf-8"?>
<sst xmlns="http://schemas.openxmlformats.org/spreadsheetml/2006/main" count="279" uniqueCount="216">
  <si>
    <t>Activo Não Corrente</t>
  </si>
  <si>
    <t>Activos fixos tangíveis</t>
  </si>
  <si>
    <t>Activos intangíveis</t>
  </si>
  <si>
    <t>Activo Corrente</t>
  </si>
  <si>
    <t>Inventários</t>
  </si>
  <si>
    <t>Clientes</t>
  </si>
  <si>
    <t>Estado e outros entes públicos</t>
  </si>
  <si>
    <t>Outras contas a receber</t>
  </si>
  <si>
    <t>Diferimentos</t>
  </si>
  <si>
    <t>Caixa e depositos bancários</t>
  </si>
  <si>
    <t>Total do Activo</t>
  </si>
  <si>
    <t>Capital Próprio</t>
  </si>
  <si>
    <t>Capital realizado</t>
  </si>
  <si>
    <t>Reservas legais</t>
  </si>
  <si>
    <t>Outras reservas</t>
  </si>
  <si>
    <t>Resultado líquido do período</t>
  </si>
  <si>
    <t>CAPITAL PRÓPRIO + PASSIVO</t>
  </si>
  <si>
    <t>ACTIVO</t>
  </si>
  <si>
    <t>Passivo</t>
  </si>
  <si>
    <t xml:space="preserve">   Financiamentos obtidos</t>
  </si>
  <si>
    <t>Passivo Corrente</t>
  </si>
  <si>
    <t>Passivo Não Corrente</t>
  </si>
  <si>
    <t xml:space="preserve">   Adiantamentos de clientes</t>
  </si>
  <si>
    <t xml:space="preserve">   Fornecedores</t>
  </si>
  <si>
    <t xml:space="preserve">   Estado e outros entes públicos</t>
  </si>
  <si>
    <t xml:space="preserve">   Outras contas a pagar</t>
  </si>
  <si>
    <t>Total do Passivo</t>
  </si>
  <si>
    <t>Total do Cap. Próprio + Passivo</t>
  </si>
  <si>
    <t>Vendas e serviços prestados</t>
  </si>
  <si>
    <t>Subsídios à exploração</t>
  </si>
  <si>
    <t>Variação nos inventários de produção</t>
  </si>
  <si>
    <t>Trabalhos para a própria Entidade</t>
  </si>
  <si>
    <t>Provisões</t>
  </si>
  <si>
    <t>Outros rendimentos e ganhos</t>
  </si>
  <si>
    <t>Outros gastos e perdas</t>
  </si>
  <si>
    <t>Depreciações e amortizações</t>
  </si>
  <si>
    <t>Imparidade de investimentos não depreciáveis</t>
  </si>
  <si>
    <t>Imparidade de investimentos depreciáveis</t>
  </si>
  <si>
    <t>Resultado operacional</t>
  </si>
  <si>
    <t>Juros e gastos similares suportados</t>
  </si>
  <si>
    <t>Juros e rendimentos similares obtidos</t>
  </si>
  <si>
    <t>Resultado antes impostos</t>
  </si>
  <si>
    <t>Imposto sobre o rendimento do período</t>
  </si>
  <si>
    <t>Fornecimentos e serviços externos</t>
  </si>
  <si>
    <t>Custo das mercadorias vendidas e das matérias consumidas</t>
  </si>
  <si>
    <t>Imparidade de dívidas a receber</t>
  </si>
  <si>
    <t>Gastos com o pessoal</t>
  </si>
  <si>
    <t>Resultados antes depreciações, gastos financiamento e impostos</t>
  </si>
  <si>
    <t>RENDIMENTOS E GASTOS</t>
  </si>
  <si>
    <t>BALANÇO FUNCIONAL PARA ANÁLISE DO EQUILÍBRIO FINANCEIRO</t>
  </si>
  <si>
    <t>Adiantamentos de fornecedores………………………………………</t>
  </si>
  <si>
    <t>Estado e outros entes públicos de exploração (a receber)………..</t>
  </si>
  <si>
    <t>Outros devedores de exploração……………………………………</t>
  </si>
  <si>
    <t>Necessidades Cíclicas</t>
  </si>
  <si>
    <t>Empresas relacionadas………………………………………………..</t>
  </si>
  <si>
    <t>Estado e outros entes públicos fora de exploração (a receber)…..</t>
  </si>
  <si>
    <t>Outros devedores fora de exploração………………………………</t>
  </si>
  <si>
    <t>TOTAL DE APLICAÇÕES</t>
  </si>
  <si>
    <t>Provisões m/l prazo…………………………………………………..</t>
  </si>
  <si>
    <t>Empréstimos obrigacionistas………………………………………….</t>
  </si>
  <si>
    <t>Dívidas a instituições de crédito………………………………………</t>
  </si>
  <si>
    <t>Acréscimos e diferimentos m/l prazo……………………………….</t>
  </si>
  <si>
    <t>Capitais Alheis Estáveis</t>
  </si>
  <si>
    <t>Fornecedores………………………………………………………….</t>
  </si>
  <si>
    <t>Adiantamentos de clientes…………………………………………….</t>
  </si>
  <si>
    <t>Estado e outros entes públicos de exploração (a pagar)…………..</t>
  </si>
  <si>
    <t>Outros credores de exploração……………………………………..</t>
  </si>
  <si>
    <t>Recursos cíclicos</t>
  </si>
  <si>
    <t>Provisões curto prazo…………………………………………………..</t>
  </si>
  <si>
    <t>Fornecedores em mora………………………………………………</t>
  </si>
  <si>
    <t>Estado e outros entes públicos fora de exploração (a pagar)……..</t>
  </si>
  <si>
    <t>Outros credores fora de exploração………………………………..</t>
  </si>
  <si>
    <t>Tesouraria Passiva</t>
  </si>
  <si>
    <t>TOTAL DE RECURSOS</t>
  </si>
  <si>
    <t>Controle</t>
  </si>
  <si>
    <t>Inventários ……………………………………………………………..</t>
  </si>
  <si>
    <t>Clientes …………………………………………………………………</t>
  </si>
  <si>
    <t>Sócios e Empresas relacionadas………………………………….</t>
  </si>
  <si>
    <t>Fornecedores de investimento…………………………………………</t>
  </si>
  <si>
    <t>Impostos diferidos……………………………………………………..</t>
  </si>
  <si>
    <t>Capital Próprio (sem RLE pq foi distribuido)</t>
  </si>
  <si>
    <t>DEMONSTRAÇÃO DE RESULTADOS A CUSTEIO VARIÁVEL</t>
  </si>
  <si>
    <t>Vendas e serviços prestados………...……………………………</t>
  </si>
  <si>
    <t>Subsídios à exploração…………………………………………….</t>
  </si>
  <si>
    <t>Volume de Negócios</t>
  </si>
  <si>
    <t>Variação nos inventários da produção…………………………..</t>
  </si>
  <si>
    <t>Trabalhos para a própria entidade..……………………………..</t>
  </si>
  <si>
    <t>Outros rendimentos e ganhos operacionais…………………….</t>
  </si>
  <si>
    <t>Proveitos Operacionais</t>
  </si>
  <si>
    <t>Custo das mercadorias vendidas e matérias consumidas………</t>
  </si>
  <si>
    <t>Fornecimentos e serviços externos variáveis..………………..</t>
  </si>
  <si>
    <t>Outros gastos e perdas operacionais variáveis…………………</t>
  </si>
  <si>
    <t>Impostos directos e indirectos……………………………………</t>
  </si>
  <si>
    <t>Custos Variáveis</t>
  </si>
  <si>
    <t>Margem de Contribuição</t>
  </si>
  <si>
    <t>Fornecimentos e serviços externos fixos…....………………..</t>
  </si>
  <si>
    <t>Gastos fixos com o pessoal………………………………………..</t>
  </si>
  <si>
    <t>Outros gastos e perdas operacionais fixos …………………………….</t>
  </si>
  <si>
    <t>Custos Fixos</t>
  </si>
  <si>
    <t>Excedente bruto de exploração</t>
  </si>
  <si>
    <t>Provisões…………………………………………………………….</t>
  </si>
  <si>
    <t>Amortizações……………………………………………………….</t>
  </si>
  <si>
    <t>Resultados da exploração</t>
  </si>
  <si>
    <t>Ganhos e perdas de investimentos não afectos à exploração.</t>
  </si>
  <si>
    <t>Resultado Operacional</t>
  </si>
  <si>
    <t>Juros e rendimentos similares obtidos…………………………..</t>
  </si>
  <si>
    <t>Juros e gastos similares suportados………………………………</t>
  </si>
  <si>
    <t>Resultados Correntes</t>
  </si>
  <si>
    <t>Resultados não correntes ou não sistemáticos…………………</t>
  </si>
  <si>
    <t>Resultados Antes de Impostos</t>
  </si>
  <si>
    <t>Imposto sobre os lucros……………………………………………</t>
  </si>
  <si>
    <t>Resultado Líquido do Período</t>
  </si>
  <si>
    <t>Activo fixo</t>
  </si>
  <si>
    <t>Necessidade em fundo de maneio</t>
  </si>
  <si>
    <t>Tesouraria activa</t>
  </si>
  <si>
    <t>Activo economico-financeiro</t>
  </si>
  <si>
    <t>Capital próprio</t>
  </si>
  <si>
    <t>Capital alheio a longo-prazo</t>
  </si>
  <si>
    <t>Tesouraria passiva</t>
  </si>
  <si>
    <t>Capitais investidos</t>
  </si>
  <si>
    <t>Capitais Alheios Correntes</t>
  </si>
  <si>
    <t>Análise da situação financeira</t>
  </si>
  <si>
    <t>Estrutura financeira:</t>
  </si>
  <si>
    <t xml:space="preserve">   Grau de endividamento</t>
  </si>
  <si>
    <t xml:space="preserve">   Estrutura de endividamento</t>
  </si>
  <si>
    <t>Solvabilidade:</t>
  </si>
  <si>
    <t xml:space="preserve">   Debt do equity</t>
  </si>
  <si>
    <t xml:space="preserve">   Autonomia financeira</t>
  </si>
  <si>
    <t xml:space="preserve">   Liquidez geral</t>
  </si>
  <si>
    <t xml:space="preserve">   Liquidez reduzida</t>
  </si>
  <si>
    <t>Liquidez e fundo de maneio:</t>
  </si>
  <si>
    <t>Capacidade financeira:</t>
  </si>
  <si>
    <t>Autofinanciamento corrente</t>
  </si>
  <si>
    <t xml:space="preserve">   Reembolso da dívida financeira (n.º anos)</t>
  </si>
  <si>
    <t xml:space="preserve">   Cobertura dos custos financeiros</t>
  </si>
  <si>
    <t>Capitais permanentes</t>
  </si>
  <si>
    <t>FUNDO MANEIO LIQUIDO(FML)</t>
  </si>
  <si>
    <t>Necessidades cíclicas</t>
  </si>
  <si>
    <t>NECESSIDADES FUNDO MANEIO(NFM)</t>
  </si>
  <si>
    <t>TESOURARIA LIQUIDA(TRL)</t>
  </si>
  <si>
    <t>Análise do equilíbrio financeiro</t>
  </si>
  <si>
    <t>Volume diário de negócios</t>
  </si>
  <si>
    <t>Duração das necessidades cíclicas em dias venda</t>
  </si>
  <si>
    <t>Duração dos recursos cíclicos em dias venda</t>
  </si>
  <si>
    <t>Défice da tesouraria líquida em meses</t>
  </si>
  <si>
    <t>ANÁLISE DO RISCO ECONÓMICO - FINANCEIRO</t>
  </si>
  <si>
    <t>NÍVEL OPERACIONAL</t>
  </si>
  <si>
    <t>Ponto Crítico Operacional</t>
  </si>
  <si>
    <t>Margem de Segurança Operacional</t>
  </si>
  <si>
    <t>Custos fixos + Encargos Financeiros</t>
  </si>
  <si>
    <t>Ponto Crítico Global</t>
  </si>
  <si>
    <t>Margem de Segurança Global</t>
  </si>
  <si>
    <t>GRAU DE ALAVANCA OPERACIONAL</t>
  </si>
  <si>
    <t>GRAU DE ALAVANCA FINANCEIRA</t>
  </si>
  <si>
    <t>GRAU COMBINADO DE ALAVANCA</t>
  </si>
  <si>
    <t>RENDIBILIDADE DO CAPITAL PRÓPRIO PELO MODELO MULTIPLICATIVO</t>
  </si>
  <si>
    <t xml:space="preserve">         Efeito dos Custos Fixos</t>
  </si>
  <si>
    <t xml:space="preserve">     Rendibilidade Operacional das Vendas</t>
  </si>
  <si>
    <t>Rendibilidade dos Capitais Investidos</t>
  </si>
  <si>
    <t>ÁREA FINANCEIRA:</t>
  </si>
  <si>
    <t xml:space="preserve">   Múltiplo da Estrutura Financeira</t>
  </si>
  <si>
    <t xml:space="preserve">   Efeito dos Encargos Financeiros</t>
  </si>
  <si>
    <t>Índice de Alavanca Financeira</t>
  </si>
  <si>
    <t>Efeito dos Resultados Extraordinários</t>
  </si>
  <si>
    <t>ÁREA FISCAL:</t>
  </si>
  <si>
    <t>Efeito Fiscal</t>
  </si>
  <si>
    <t>Rendibilidade do Capital Próprio</t>
  </si>
  <si>
    <t>ÁREA OPERACIONAL</t>
  </si>
  <si>
    <t xml:space="preserve">     Rotação dos Capitais Investidos</t>
  </si>
  <si>
    <t>ÁREA NÃO CORRENTE:</t>
  </si>
  <si>
    <t xml:space="preserve">         Margem contribuição % vendas</t>
  </si>
  <si>
    <t>Efeito fiscal</t>
  </si>
  <si>
    <t>Margem Contribuição em % Vendas</t>
  </si>
  <si>
    <t>NÍVEL RESULTADOS CORRENTES</t>
  </si>
  <si>
    <t>Taxa efetiva imposto</t>
  </si>
  <si>
    <t>Resultados transitados</t>
  </si>
  <si>
    <t xml:space="preserve">   Diferimentos</t>
  </si>
  <si>
    <t>%</t>
  </si>
  <si>
    <t>Evolução</t>
  </si>
  <si>
    <t>Outros investimentos financeiros</t>
  </si>
  <si>
    <t>Ativos por impostos diferidos</t>
  </si>
  <si>
    <t>Variação 2017-2016</t>
  </si>
  <si>
    <t>Excedentes de revalorização</t>
  </si>
  <si>
    <t>Outras variações cap. Próprio</t>
  </si>
  <si>
    <t xml:space="preserve">   Provisões</t>
  </si>
  <si>
    <t xml:space="preserve">   Outras dívidas a pagar</t>
  </si>
  <si>
    <t xml:space="preserve">   Responsabilidades por Benefícios Pós-Emprego </t>
  </si>
  <si>
    <t xml:space="preserve">   Passivos por impostos diferidos</t>
  </si>
  <si>
    <t>Ativo Fixo</t>
  </si>
  <si>
    <t>1)</t>
  </si>
  <si>
    <t>Tirei os Ativos por impostos diferidos ao Cap. Proprio</t>
  </si>
  <si>
    <t>2) Não existe Adiantamento por conta de compras em Inventários</t>
  </si>
  <si>
    <t>Outros passivos...............................................................</t>
  </si>
  <si>
    <t>Diferimentos de exploração e de curto prazo ………................</t>
  </si>
  <si>
    <t>Diferimentos fora de exploração e de curto prazo …................</t>
  </si>
  <si>
    <t>Tesouraria Ativa</t>
  </si>
  <si>
    <t>Ativo fixo financeiro............................................................</t>
  </si>
  <si>
    <t>Ativo fixo operacional..........................................................</t>
  </si>
  <si>
    <t>Ativo Corrente</t>
  </si>
  <si>
    <t>Caixa e depósitos bancários................................................</t>
  </si>
  <si>
    <t>Capital Próprio (RLE não foi distribuido).........................</t>
  </si>
  <si>
    <t>Tesouraria ativa</t>
  </si>
  <si>
    <t>Rácios de funcionamento</t>
  </si>
  <si>
    <t>Vendas com IVA</t>
  </si>
  <si>
    <t>Compras matérias-primas com IVA</t>
  </si>
  <si>
    <t>FSE com IVA</t>
  </si>
  <si>
    <t xml:space="preserve">   Prazo médio de recebimentos (base 365 dias)</t>
  </si>
  <si>
    <t>Custo dos produtos vendidos</t>
  </si>
  <si>
    <t xml:space="preserve">   Duração dos Inventários (base 365 dias)</t>
  </si>
  <si>
    <t xml:space="preserve">   Prazo médio de pagamentos (base 365 dias)</t>
  </si>
  <si>
    <t>Necessidades Financiamento em Dias</t>
  </si>
  <si>
    <t>Ativo fixo líquido</t>
  </si>
  <si>
    <t>Ativo fixo</t>
  </si>
  <si>
    <t>Ativo</t>
  </si>
  <si>
    <t>Rendibilidade do Ativo</t>
  </si>
  <si>
    <t>RENDIBILIDADE DO 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</si>
</sst>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;\(#,##0\)"/>
    <numFmt numFmtId="165" formatCode="#,##0;\(#,##0\);\-"/>
    <numFmt numFmtId="166" formatCode="_-* #,##0.00[$€-1]_-;\-* #,##0.00[$€-1]_-;_-* &quot;-&quot;??[$€-1]_-"/>
    <numFmt numFmtId="167" formatCode="#,##0;[Red]&quot;-&quot;#,##0"/>
    <numFmt numFmtId="168" formatCode="&quot;$&quot;#,##0_);[Red]\(&quot;$&quot;#,##0\)"/>
    <numFmt numFmtId="169" formatCode="#,##0.00;\(#,##0.00\);\-"/>
    <numFmt numFmtId="170" formatCode="0.0%"/>
    <numFmt numFmtId="171" formatCode="#,##0.00;\(#,##0.00\)"/>
    <numFmt numFmtId="172" formatCode="#,##0.000;\(#,##0.000\)"/>
  </numFmts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MS Sans Serif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u/>
      <sz val="10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3" fillId="0" borderId="0" applyFont="0" applyFill="0" applyBorder="0" applyAlignment="0" applyProtection="0"/>
    <xf numFmtId="164" fontId="4" fillId="0" borderId="0"/>
    <xf numFmtId="9" fontId="8" fillId="0" borderId="0" applyFont="0" applyFill="0" applyBorder="0" applyAlignment="0" applyProtection="0"/>
    <xf numFmtId="0" fontId="10" fillId="3" borderId="20" applyFont="0" applyFill="0" applyBorder="0"/>
    <xf numFmtId="0" fontId="11" fillId="0" borderId="8"/>
    <xf numFmtId="166" fontId="12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4" fillId="0" borderId="0"/>
  </cellStyleXfs>
  <cellXfs count="173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1" fillId="0" borderId="0" xfId="0" applyFont="1" applyAlignment="1">
      <alignment horizontal="center"/>
    </xf>
    <xf numFmtId="3" fontId="1" fillId="0" borderId="2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3" fontId="1" fillId="0" borderId="1" xfId="0" applyNumberFormat="1" applyFont="1" applyBorder="1"/>
    <xf numFmtId="164" fontId="5" fillId="0" borderId="0" xfId="2" applyFont="1" applyAlignment="1">
      <alignment horizontal="centerContinuous"/>
    </xf>
    <xf numFmtId="164" fontId="6" fillId="0" borderId="0" xfId="2" applyFont="1" applyAlignment="1">
      <alignment horizontal="centerContinuous"/>
    </xf>
    <xf numFmtId="164" fontId="4" fillId="0" borderId="0" xfId="2"/>
    <xf numFmtId="0" fontId="4" fillId="0" borderId="4" xfId="2" applyNumberForma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0" borderId="6" xfId="2" applyNumberFormat="1" applyFont="1" applyBorder="1" applyAlignment="1">
      <alignment horizontal="center"/>
    </xf>
    <xf numFmtId="0" fontId="4" fillId="0" borderId="0" xfId="2" applyNumberFormat="1" applyAlignment="1">
      <alignment horizontal="center"/>
    </xf>
    <xf numFmtId="164" fontId="4" fillId="0" borderId="7" xfId="2" applyBorder="1"/>
    <xf numFmtId="165" fontId="4" fillId="0" borderId="8" xfId="2" applyNumberFormat="1" applyBorder="1"/>
    <xf numFmtId="165" fontId="4" fillId="0" borderId="9" xfId="2" applyNumberFormat="1" applyBorder="1"/>
    <xf numFmtId="164" fontId="7" fillId="2" borderId="10" xfId="2" applyFont="1" applyFill="1" applyBorder="1"/>
    <xf numFmtId="165" fontId="7" fillId="2" borderId="11" xfId="2" applyNumberFormat="1" applyFont="1" applyFill="1" applyBorder="1"/>
    <xf numFmtId="165" fontId="7" fillId="2" borderId="12" xfId="2" applyNumberFormat="1" applyFont="1" applyFill="1" applyBorder="1"/>
    <xf numFmtId="165" fontId="7" fillId="0" borderId="0" xfId="2" applyNumberFormat="1" applyFont="1" applyFill="1" applyBorder="1"/>
    <xf numFmtId="164" fontId="7" fillId="0" borderId="7" xfId="2" applyFont="1" applyBorder="1"/>
    <xf numFmtId="165" fontId="7" fillId="2" borderId="0" xfId="2" applyNumberFormat="1" applyFont="1" applyFill="1" applyBorder="1"/>
    <xf numFmtId="164" fontId="7" fillId="2" borderId="13" xfId="2" applyFont="1" applyFill="1" applyBorder="1"/>
    <xf numFmtId="165" fontId="7" fillId="2" borderId="14" xfId="2" applyNumberFormat="1" applyFont="1" applyFill="1" applyBorder="1"/>
    <xf numFmtId="165" fontId="7" fillId="2" borderId="15" xfId="2" applyNumberFormat="1" applyFont="1" applyFill="1" applyBorder="1"/>
    <xf numFmtId="165" fontId="4" fillId="0" borderId="0" xfId="2" applyNumberFormat="1"/>
    <xf numFmtId="164" fontId="4" fillId="0" borderId="4" xfId="2" applyBorder="1"/>
    <xf numFmtId="165" fontId="7" fillId="0" borderId="8" xfId="2" applyNumberFormat="1" applyFont="1" applyBorder="1"/>
    <xf numFmtId="164" fontId="4" fillId="0" borderId="7" xfId="2" applyFont="1" applyBorder="1"/>
    <xf numFmtId="164" fontId="7" fillId="0" borderId="0" xfId="2" applyFont="1"/>
    <xf numFmtId="164" fontId="4" fillId="0" borderId="10" xfId="2" applyBorder="1"/>
    <xf numFmtId="165" fontId="4" fillId="0" borderId="11" xfId="2" applyNumberFormat="1" applyBorder="1"/>
    <xf numFmtId="164" fontId="7" fillId="2" borderId="16" xfId="2" applyFont="1" applyFill="1" applyBorder="1"/>
    <xf numFmtId="165" fontId="7" fillId="2" borderId="17" xfId="2" applyNumberFormat="1" applyFont="1" applyFill="1" applyBorder="1"/>
    <xf numFmtId="164" fontId="9" fillId="0" borderId="19" xfId="2" applyFont="1" applyFill="1" applyBorder="1"/>
    <xf numFmtId="165" fontId="9" fillId="0" borderId="0" xfId="2" applyNumberFormat="1" applyFont="1"/>
    <xf numFmtId="164" fontId="13" fillId="0" borderId="0" xfId="9" applyFont="1" applyAlignment="1">
      <alignment horizontal="centerContinuous"/>
    </xf>
    <xf numFmtId="164" fontId="14" fillId="0" borderId="0" xfId="9" applyFont="1" applyAlignment="1">
      <alignment horizontal="centerContinuous"/>
    </xf>
    <xf numFmtId="164" fontId="14" fillId="0" borderId="0" xfId="9" applyFont="1"/>
    <xf numFmtId="164" fontId="14" fillId="0" borderId="4" xfId="9" applyFont="1" applyBorder="1"/>
    <xf numFmtId="0" fontId="13" fillId="0" borderId="6" xfId="9" applyNumberFormat="1" applyFont="1" applyBorder="1" applyAlignment="1">
      <alignment horizontal="center"/>
    </xf>
    <xf numFmtId="164" fontId="14" fillId="0" borderId="7" xfId="9" applyFont="1" applyBorder="1"/>
    <xf numFmtId="164" fontId="13" fillId="4" borderId="10" xfId="9" applyFont="1" applyFill="1" applyBorder="1"/>
    <xf numFmtId="165" fontId="13" fillId="2" borderId="0" xfId="9" applyNumberFormat="1" applyFont="1" applyFill="1" applyBorder="1"/>
    <xf numFmtId="164" fontId="13" fillId="0" borderId="0" xfId="9" applyFont="1"/>
    <xf numFmtId="164" fontId="14" fillId="0" borderId="7" xfId="9" applyFont="1" applyFill="1" applyBorder="1"/>
    <xf numFmtId="164" fontId="13" fillId="4" borderId="13" xfId="9" applyFont="1" applyFill="1" applyBorder="1"/>
    <xf numFmtId="169" fontId="14" fillId="0" borderId="0" xfId="9" applyNumberFormat="1" applyFont="1"/>
    <xf numFmtId="165" fontId="14" fillId="0" borderId="0" xfId="9" applyNumberFormat="1" applyFont="1"/>
    <xf numFmtId="3" fontId="14" fillId="0" borderId="0" xfId="9" applyNumberFormat="1" applyFont="1" applyBorder="1"/>
    <xf numFmtId="3" fontId="13" fillId="4" borderId="1" xfId="9" applyNumberFormat="1" applyFont="1" applyFill="1" applyBorder="1"/>
    <xf numFmtId="3" fontId="14" fillId="0" borderId="9" xfId="9" applyNumberFormat="1" applyFont="1" applyBorder="1"/>
    <xf numFmtId="3" fontId="13" fillId="4" borderId="12" xfId="9" applyNumberFormat="1" applyFont="1" applyFill="1" applyBorder="1"/>
    <xf numFmtId="3" fontId="14" fillId="0" borderId="0" xfId="9" applyNumberFormat="1" applyFont="1" applyFill="1" applyBorder="1"/>
    <xf numFmtId="3" fontId="14" fillId="0" borderId="9" xfId="9" applyNumberFormat="1" applyFont="1" applyFill="1" applyBorder="1"/>
    <xf numFmtId="3" fontId="13" fillId="4" borderId="2" xfId="9" applyNumberFormat="1" applyFont="1" applyFill="1" applyBorder="1"/>
    <xf numFmtId="3" fontId="13" fillId="4" borderId="15" xfId="9" applyNumberFormat="1" applyFont="1" applyFill="1" applyBorder="1"/>
    <xf numFmtId="0" fontId="14" fillId="0" borderId="22" xfId="9" applyNumberFormat="1" applyFont="1" applyBorder="1" applyAlignment="1">
      <alignment horizontal="center"/>
    </xf>
    <xf numFmtId="9" fontId="4" fillId="0" borderId="8" xfId="1" applyFont="1" applyBorder="1"/>
    <xf numFmtId="9" fontId="7" fillId="2" borderId="11" xfId="1" applyFont="1" applyFill="1" applyBorder="1"/>
    <xf numFmtId="9" fontId="7" fillId="2" borderId="14" xfId="1" applyFont="1" applyFill="1" applyBorder="1"/>
    <xf numFmtId="9" fontId="7" fillId="0" borderId="8" xfId="1" applyFont="1" applyBorder="1"/>
    <xf numFmtId="9" fontId="4" fillId="0" borderId="11" xfId="1" applyFont="1" applyBorder="1"/>
    <xf numFmtId="9" fontId="7" fillId="2" borderId="17" xfId="1" applyFont="1" applyFill="1" applyBorder="1"/>
    <xf numFmtId="9" fontId="7" fillId="0" borderId="9" xfId="1" applyFont="1" applyBorder="1"/>
    <xf numFmtId="9" fontId="4" fillId="0" borderId="9" xfId="1" applyFont="1" applyBorder="1"/>
    <xf numFmtId="9" fontId="7" fillId="2" borderId="12" xfId="1" applyFont="1" applyFill="1" applyBorder="1"/>
    <xf numFmtId="9" fontId="4" fillId="0" borderId="12" xfId="1" applyFont="1" applyBorder="1"/>
    <xf numFmtId="9" fontId="7" fillId="2" borderId="18" xfId="1" applyFont="1" applyFill="1" applyBorder="1"/>
    <xf numFmtId="9" fontId="7" fillId="2" borderId="15" xfId="1" applyFont="1" applyFill="1" applyBorder="1"/>
    <xf numFmtId="0" fontId="7" fillId="0" borderId="4" xfId="2" applyNumberFormat="1" applyFont="1" applyBorder="1" applyAlignment="1">
      <alignment horizontal="center"/>
    </xf>
    <xf numFmtId="2" fontId="4" fillId="0" borderId="8" xfId="1" applyNumberFormat="1" applyFont="1" applyBorder="1"/>
    <xf numFmtId="2" fontId="4" fillId="0" borderId="9" xfId="1" applyNumberFormat="1" applyFont="1" applyBorder="1"/>
    <xf numFmtId="3" fontId="4" fillId="0" borderId="8" xfId="1" applyNumberFormat="1" applyFont="1" applyBorder="1"/>
    <xf numFmtId="3" fontId="4" fillId="0" borderId="9" xfId="1" applyNumberFormat="1" applyFont="1" applyBorder="1"/>
    <xf numFmtId="10" fontId="14" fillId="0" borderId="0" xfId="1" applyNumberFormat="1" applyFont="1"/>
    <xf numFmtId="164" fontId="4" fillId="0" borderId="16" xfId="2" applyBorder="1"/>
    <xf numFmtId="2" fontId="4" fillId="0" borderId="17" xfId="1" applyNumberFormat="1" applyFont="1" applyBorder="1"/>
    <xf numFmtId="2" fontId="4" fillId="0" borderId="18" xfId="1" applyNumberFormat="1" applyFont="1" applyBorder="1"/>
    <xf numFmtId="164" fontId="4" fillId="0" borderId="24" xfId="2" applyBorder="1"/>
    <xf numFmtId="164" fontId="4" fillId="0" borderId="0" xfId="2" applyBorder="1"/>
    <xf numFmtId="164" fontId="4" fillId="0" borderId="25" xfId="2" applyBorder="1"/>
    <xf numFmtId="164" fontId="4" fillId="0" borderId="26" xfId="2" applyBorder="1"/>
    <xf numFmtId="164" fontId="4" fillId="0" borderId="27" xfId="2" applyBorder="1"/>
    <xf numFmtId="164" fontId="4" fillId="0" borderId="28" xfId="2" applyBorder="1"/>
    <xf numFmtId="164" fontId="4" fillId="0" borderId="29" xfId="2" applyBorder="1"/>
    <xf numFmtId="164" fontId="4" fillId="0" borderId="18" xfId="2" applyBorder="1"/>
    <xf numFmtId="3" fontId="0" fillId="0" borderId="8" xfId="0" applyNumberFormat="1" applyBorder="1"/>
    <xf numFmtId="3" fontId="0" fillId="0" borderId="9" xfId="0" applyNumberFormat="1" applyBorder="1"/>
    <xf numFmtId="3" fontId="7" fillId="2" borderId="11" xfId="0" applyNumberFormat="1" applyFont="1" applyFill="1" applyBorder="1"/>
    <xf numFmtId="3" fontId="7" fillId="2" borderId="12" xfId="0" applyNumberFormat="1" applyFont="1" applyFill="1" applyBorder="1"/>
    <xf numFmtId="164" fontId="4" fillId="0" borderId="31" xfId="2" applyBorder="1"/>
    <xf numFmtId="164" fontId="4" fillId="0" borderId="23" xfId="2" applyBorder="1"/>
    <xf numFmtId="0" fontId="0" fillId="0" borderId="24" xfId="0" applyBorder="1"/>
    <xf numFmtId="0" fontId="7" fillId="2" borderId="32" xfId="0" applyFont="1" applyFill="1" applyBorder="1"/>
    <xf numFmtId="164" fontId="4" fillId="0" borderId="33" xfId="2" applyBorder="1"/>
    <xf numFmtId="164" fontId="4" fillId="0" borderId="9" xfId="2" applyBorder="1"/>
    <xf numFmtId="171" fontId="4" fillId="0" borderId="23" xfId="2" applyNumberFormat="1" applyBorder="1"/>
    <xf numFmtId="171" fontId="4" fillId="0" borderId="9" xfId="2" applyNumberFormat="1" applyBorder="1"/>
    <xf numFmtId="164" fontId="4" fillId="0" borderId="0" xfId="2" applyAlignment="1">
      <alignment horizontal="centerContinuous"/>
    </xf>
    <xf numFmtId="164" fontId="4" fillId="0" borderId="34" xfId="2" applyBorder="1"/>
    <xf numFmtId="164" fontId="4" fillId="0" borderId="21" xfId="2" applyBorder="1"/>
    <xf numFmtId="164" fontId="4" fillId="0" borderId="35" xfId="2" applyBorder="1"/>
    <xf numFmtId="164" fontId="15" fillId="0" borderId="24" xfId="2" applyFont="1" applyBorder="1"/>
    <xf numFmtId="164" fontId="4" fillId="0" borderId="19" xfId="2" applyBorder="1"/>
    <xf numFmtId="164" fontId="4" fillId="0" borderId="8" xfId="2" applyBorder="1"/>
    <xf numFmtId="164" fontId="7" fillId="0" borderId="24" xfId="2" applyFont="1" applyBorder="1"/>
    <xf numFmtId="164" fontId="7" fillId="0" borderId="0" xfId="2" applyFont="1" applyBorder="1"/>
    <xf numFmtId="164" fontId="7" fillId="0" borderId="19" xfId="2" applyFont="1" applyBorder="1"/>
    <xf numFmtId="165" fontId="7" fillId="0" borderId="8" xfId="2" applyNumberFormat="1" applyFont="1" applyBorder="1" applyAlignment="1">
      <alignment horizontal="center"/>
    </xf>
    <xf numFmtId="165" fontId="7" fillId="0" borderId="9" xfId="2" applyNumberFormat="1" applyFont="1" applyBorder="1" applyAlignment="1">
      <alignment horizontal="center"/>
    </xf>
    <xf numFmtId="170" fontId="4" fillId="0" borderId="8" xfId="2" applyNumberFormat="1" applyBorder="1" applyAlignment="1">
      <alignment horizontal="center"/>
    </xf>
    <xf numFmtId="170" fontId="4" fillId="0" borderId="9" xfId="2" applyNumberFormat="1" applyBorder="1" applyAlignment="1">
      <alignment horizontal="center"/>
    </xf>
    <xf numFmtId="165" fontId="4" fillId="0" borderId="8" xfId="2" applyNumberFormat="1" applyBorder="1" applyAlignment="1">
      <alignment horizontal="center"/>
    </xf>
    <xf numFmtId="165" fontId="4" fillId="0" borderId="9" xfId="2" applyNumberFormat="1" applyBorder="1" applyAlignment="1">
      <alignment horizontal="center"/>
    </xf>
    <xf numFmtId="164" fontId="7" fillId="0" borderId="0" xfId="2" applyFont="1" applyFill="1" applyBorder="1"/>
    <xf numFmtId="170" fontId="7" fillId="0" borderId="8" xfId="2" applyNumberFormat="1" applyFont="1" applyBorder="1" applyAlignment="1">
      <alignment horizontal="center"/>
    </xf>
    <xf numFmtId="170" fontId="7" fillId="0" borderId="9" xfId="2" applyNumberFormat="1" applyFont="1" applyBorder="1" applyAlignment="1">
      <alignment horizontal="center"/>
    </xf>
    <xf numFmtId="2" fontId="4" fillId="0" borderId="8" xfId="2" applyNumberFormat="1" applyBorder="1" applyAlignment="1">
      <alignment horizontal="center"/>
    </xf>
    <xf numFmtId="2" fontId="4" fillId="0" borderId="9" xfId="2" applyNumberFormat="1" applyBorder="1" applyAlignment="1">
      <alignment horizontal="center"/>
    </xf>
    <xf numFmtId="164" fontId="4" fillId="0" borderId="0" xfId="2" applyFill="1" applyBorder="1"/>
    <xf numFmtId="172" fontId="4" fillId="0" borderId="0" xfId="2" applyNumberFormat="1"/>
    <xf numFmtId="2" fontId="7" fillId="0" borderId="8" xfId="2" applyNumberFormat="1" applyFont="1" applyBorder="1" applyAlignment="1">
      <alignment horizontal="center"/>
    </xf>
    <xf numFmtId="2" fontId="7" fillId="0" borderId="9" xfId="2" applyNumberFormat="1" applyFont="1" applyBorder="1" applyAlignment="1">
      <alignment horizontal="center"/>
    </xf>
    <xf numFmtId="164" fontId="4" fillId="0" borderId="36" xfId="2" applyBorder="1"/>
    <xf numFmtId="2" fontId="4" fillId="0" borderId="17" xfId="2" applyNumberFormat="1" applyBorder="1"/>
    <xf numFmtId="2" fontId="4" fillId="0" borderId="18" xfId="2" applyNumberFormat="1" applyBorder="1"/>
    <xf numFmtId="164" fontId="16" fillId="0" borderId="0" xfId="2" applyFont="1" applyFill="1" applyBorder="1"/>
    <xf numFmtId="164" fontId="4" fillId="0" borderId="0" xfId="2" applyFont="1" applyBorder="1"/>
    <xf numFmtId="164" fontId="4" fillId="0" borderId="19" xfId="2" applyFont="1" applyBorder="1"/>
    <xf numFmtId="2" fontId="4" fillId="0" borderId="8" xfId="2" applyNumberFormat="1" applyFont="1" applyBorder="1" applyAlignment="1">
      <alignment horizontal="center"/>
    </xf>
    <xf numFmtId="2" fontId="4" fillId="0" borderId="9" xfId="2" applyNumberFormat="1" applyFont="1" applyBorder="1" applyAlignment="1">
      <alignment horizontal="center"/>
    </xf>
    <xf numFmtId="165" fontId="4" fillId="0" borderId="0" xfId="2" applyNumberFormat="1" applyFont="1" applyBorder="1"/>
    <xf numFmtId="165" fontId="4" fillId="0" borderId="19" xfId="2" applyNumberFormat="1" applyFont="1" applyBorder="1"/>
    <xf numFmtId="164" fontId="4" fillId="5" borderId="32" xfId="2" applyFill="1" applyBorder="1"/>
    <xf numFmtId="164" fontId="7" fillId="5" borderId="1" xfId="2" applyFont="1" applyFill="1" applyBorder="1"/>
    <xf numFmtId="164" fontId="7" fillId="5" borderId="30" xfId="2" applyFont="1" applyFill="1" applyBorder="1"/>
    <xf numFmtId="170" fontId="7" fillId="5" borderId="11" xfId="2" applyNumberFormat="1" applyFont="1" applyFill="1" applyBorder="1" applyAlignment="1">
      <alignment horizontal="center"/>
    </xf>
    <xf numFmtId="170" fontId="7" fillId="5" borderId="12" xfId="2" applyNumberFormat="1" applyFont="1" applyFill="1" applyBorder="1" applyAlignment="1">
      <alignment horizontal="center"/>
    </xf>
    <xf numFmtId="164" fontId="7" fillId="5" borderId="32" xfId="2" applyFont="1" applyFill="1" applyBorder="1"/>
    <xf numFmtId="2" fontId="7" fillId="5" borderId="11" xfId="2" applyNumberFormat="1" applyFont="1" applyFill="1" applyBorder="1" applyAlignment="1">
      <alignment horizontal="center"/>
    </xf>
    <xf numFmtId="2" fontId="7" fillId="5" borderId="12" xfId="2" applyNumberFormat="1" applyFont="1" applyFill="1" applyBorder="1" applyAlignment="1">
      <alignment horizontal="center"/>
    </xf>
    <xf numFmtId="164" fontId="17" fillId="6" borderId="32" xfId="2" applyFont="1" applyFill="1" applyBorder="1"/>
    <xf numFmtId="164" fontId="17" fillId="6" borderId="1" xfId="2" applyFont="1" applyFill="1" applyBorder="1"/>
    <xf numFmtId="164" fontId="17" fillId="6" borderId="30" xfId="2" applyFont="1" applyFill="1" applyBorder="1"/>
    <xf numFmtId="170" fontId="17" fillId="6" borderId="11" xfId="2" applyNumberFormat="1" applyFont="1" applyFill="1" applyBorder="1" applyAlignment="1">
      <alignment horizontal="center"/>
    </xf>
    <xf numFmtId="170" fontId="17" fillId="6" borderId="12" xfId="2" applyNumberFormat="1" applyFont="1" applyFill="1" applyBorder="1" applyAlignment="1">
      <alignment horizontal="center"/>
    </xf>
    <xf numFmtId="164" fontId="7" fillId="0" borderId="25" xfId="2" applyFont="1" applyBorder="1"/>
    <xf numFmtId="164" fontId="7" fillId="0" borderId="26" xfId="2" applyFont="1" applyFill="1" applyBorder="1"/>
    <xf numFmtId="164" fontId="7" fillId="0" borderId="36" xfId="2" applyFont="1" applyBorder="1"/>
    <xf numFmtId="170" fontId="7" fillId="0" borderId="17" xfId="2" applyNumberFormat="1" applyFont="1" applyBorder="1" applyAlignment="1">
      <alignment horizontal="center"/>
    </xf>
    <xf numFmtId="170" fontId="7" fillId="0" borderId="18" xfId="2" applyNumberFormat="1" applyFont="1" applyBorder="1" applyAlignment="1">
      <alignment horizontal="center"/>
    </xf>
    <xf numFmtId="164" fontId="7" fillId="0" borderId="21" xfId="2" applyFont="1" applyBorder="1"/>
    <xf numFmtId="164" fontId="7" fillId="0" borderId="21" xfId="2" applyFont="1" applyFill="1" applyBorder="1"/>
    <xf numFmtId="170" fontId="7" fillId="0" borderId="21" xfId="2" applyNumberFormat="1" applyFont="1" applyBorder="1" applyAlignment="1">
      <alignment horizontal="center"/>
    </xf>
    <xf numFmtId="3" fontId="4" fillId="0" borderId="8" xfId="2" applyNumberFormat="1" applyFont="1" applyBorder="1" applyAlignment="1">
      <alignment horizontal="center"/>
    </xf>
    <xf numFmtId="3" fontId="4" fillId="0" borderId="9" xfId="2" applyNumberFormat="1" applyFont="1" applyBorder="1" applyAlignment="1">
      <alignment horizontal="center"/>
    </xf>
    <xf numFmtId="3" fontId="4" fillId="0" borderId="8" xfId="2" applyNumberFormat="1" applyBorder="1" applyAlignment="1">
      <alignment horizontal="center"/>
    </xf>
    <xf numFmtId="3" fontId="4" fillId="0" borderId="9" xfId="2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/>
    <xf numFmtId="9" fontId="0" fillId="0" borderId="0" xfId="1" applyFont="1"/>
    <xf numFmtId="9" fontId="0" fillId="0" borderId="0" xfId="1" applyFont="1" applyAlignment="1">
      <alignment horizontal="center"/>
    </xf>
    <xf numFmtId="1" fontId="4" fillId="0" borderId="8" xfId="1" applyNumberFormat="1" applyFont="1" applyBorder="1"/>
    <xf numFmtId="1" fontId="4" fillId="0" borderId="9" xfId="1" applyNumberFormat="1" applyFont="1" applyBorder="1"/>
    <xf numFmtId="171" fontId="4" fillId="0" borderId="0" xfId="2" applyNumberFormat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10">
    <cellStyle name="Code" xfId="4" xr:uid="{00000000-0005-0000-0000-000000000000}"/>
    <cellStyle name="Code Section" xfId="5" xr:uid="{00000000-0005-0000-0000-000001000000}"/>
    <cellStyle name="Euro" xfId="6" xr:uid="{00000000-0005-0000-0000-000002000000}"/>
    <cellStyle name="Migliaia (0)" xfId="7" xr:uid="{00000000-0005-0000-0000-000003000000}"/>
    <cellStyle name="Normal" xfId="0" builtinId="0"/>
    <cellStyle name="Normal 2" xfId="2" xr:uid="{00000000-0005-0000-0000-000005000000}"/>
    <cellStyle name="Normal_Trabalho Analise Financeira" xfId="9" xr:uid="{00000000-0005-0000-0000-000006000000}"/>
    <cellStyle name="Percent 2" xfId="3" xr:uid="{00000000-0005-0000-0000-000008000000}"/>
    <cellStyle name="Percentagem" xfId="1" builtinId="5"/>
    <cellStyle name="Valuta (0)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52</xdr:row>
      <xdr:rowOff>0</xdr:rowOff>
    </xdr:from>
    <xdr:ext cx="76200" cy="200025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095625" y="3752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4"/>
  <sheetViews>
    <sheetView showGridLines="0" topLeftCell="L1" zoomScale="120" zoomScaleNormal="120" workbookViewId="0">
      <selection activeCell="T11" sqref="T11"/>
    </sheetView>
  </sheetViews>
  <sheetFormatPr defaultRowHeight="12.75" x14ac:dyDescent="0.2"/>
  <cols>
    <col min="1" max="1" width="1.85546875" customWidth="1"/>
    <col min="2" max="2" width="27.28515625" bestFit="1" customWidth="1"/>
    <col min="3" max="3" width="11.140625" customWidth="1"/>
    <col min="4" max="4" width="10.140625" customWidth="1"/>
    <col min="5" max="5" width="1.7109375" customWidth="1"/>
    <col min="6" max="6" width="11.140625" customWidth="1"/>
    <col min="7" max="7" width="10.140625" customWidth="1"/>
    <col min="8" max="8" width="1.7109375" customWidth="1"/>
    <col min="9" max="9" width="18.42578125" customWidth="1"/>
    <col min="10" max="10" width="2" customWidth="1"/>
    <col min="11" max="11" width="30.28515625" bestFit="1" customWidth="1"/>
    <col min="12" max="12" width="11" bestFit="1" customWidth="1"/>
    <col min="13" max="13" width="4.7109375" bestFit="1" customWidth="1"/>
    <col min="14" max="14" width="1.7109375" customWidth="1"/>
    <col min="15" max="15" width="11" bestFit="1" customWidth="1"/>
    <col min="16" max="16" width="4.7109375" bestFit="1" customWidth="1"/>
    <col min="17" max="17" width="7.140625" bestFit="1" customWidth="1"/>
    <col min="19" max="19" width="60.42578125" customWidth="1"/>
    <col min="20" max="20" width="11.140625" bestFit="1" customWidth="1"/>
    <col min="21" max="21" width="10.7109375" customWidth="1"/>
    <col min="22" max="22" width="1.7109375" customWidth="1"/>
    <col min="23" max="23" width="10.7109375" bestFit="1" customWidth="1"/>
    <col min="24" max="24" width="10.7109375" customWidth="1"/>
  </cols>
  <sheetData>
    <row r="1" spans="1:27" x14ac:dyDescent="0.2">
      <c r="C1" s="172">
        <v>2017</v>
      </c>
      <c r="D1" s="172"/>
      <c r="F1" s="172">
        <v>2016</v>
      </c>
      <c r="G1" s="172"/>
      <c r="I1" t="s">
        <v>181</v>
      </c>
      <c r="L1" s="7">
        <v>2017</v>
      </c>
      <c r="M1" s="164"/>
      <c r="O1" s="7">
        <v>2016</v>
      </c>
      <c r="P1" s="164"/>
      <c r="Q1" s="164"/>
      <c r="S1" s="6" t="s">
        <v>48</v>
      </c>
      <c r="T1" s="7">
        <v>2017</v>
      </c>
      <c r="U1" s="164"/>
      <c r="W1" s="7">
        <v>2016</v>
      </c>
      <c r="X1" s="164"/>
      <c r="Y1" t="s">
        <v>178</v>
      </c>
    </row>
    <row r="2" spans="1:27" x14ac:dyDescent="0.2">
      <c r="A2" s="171" t="s">
        <v>17</v>
      </c>
      <c r="B2" s="171"/>
      <c r="C2" s="171"/>
      <c r="D2" s="171"/>
      <c r="E2" s="171"/>
      <c r="F2" s="171"/>
      <c r="G2" s="162" t="s">
        <v>177</v>
      </c>
      <c r="J2" s="171" t="s">
        <v>16</v>
      </c>
      <c r="K2" s="171"/>
      <c r="L2" s="171"/>
      <c r="M2" s="171"/>
      <c r="N2" s="171"/>
      <c r="O2" s="171"/>
      <c r="P2" s="163"/>
      <c r="Q2" s="163"/>
      <c r="U2" t="s">
        <v>177</v>
      </c>
    </row>
    <row r="3" spans="1:27" x14ac:dyDescent="0.2">
      <c r="A3" t="s">
        <v>0</v>
      </c>
      <c r="J3" t="s">
        <v>11</v>
      </c>
      <c r="S3" t="s">
        <v>28</v>
      </c>
      <c r="T3" s="1">
        <v>19262919.280000001</v>
      </c>
      <c r="U3" s="1"/>
      <c r="W3" s="1">
        <v>11673307.039999999</v>
      </c>
      <c r="X3" s="1"/>
      <c r="Y3" s="166">
        <f>T3/W3-1</f>
        <v>0.65016813264598272</v>
      </c>
    </row>
    <row r="4" spans="1:27" x14ac:dyDescent="0.2">
      <c r="B4" t="s">
        <v>1</v>
      </c>
      <c r="C4" s="1">
        <v>12171933.810000001</v>
      </c>
      <c r="D4" s="166">
        <f t="shared" ref="D4:D9" si="0">C4/$C$23</f>
        <v>0.43752218034654727</v>
      </c>
      <c r="F4" s="1">
        <v>11368717.18</v>
      </c>
      <c r="G4" s="166">
        <f t="shared" ref="G4:G9" si="1">F4/$F$23</f>
        <v>0.66216861481977629</v>
      </c>
      <c r="I4" s="167">
        <f>+C4/F4-1</f>
        <v>7.0651474329314068E-2</v>
      </c>
      <c r="K4" t="s">
        <v>12</v>
      </c>
      <c r="L4" s="1">
        <v>3667800</v>
      </c>
      <c r="M4" s="166">
        <f t="shared" ref="M4:M11" si="2">L4/$L$30</f>
        <v>0.13183967955499964</v>
      </c>
      <c r="O4" s="1">
        <v>3667800</v>
      </c>
      <c r="P4" s="166">
        <f t="shared" ref="P4:P11" si="3">O4/$O$30</f>
        <v>0.21363026337822713</v>
      </c>
      <c r="Q4" s="166">
        <f>+L4/O4-1</f>
        <v>0</v>
      </c>
      <c r="S4" t="s">
        <v>29</v>
      </c>
      <c r="T4" s="1">
        <v>0</v>
      </c>
      <c r="U4" s="166">
        <f>T4/$T$3</f>
        <v>0</v>
      </c>
      <c r="W4" s="1">
        <v>0</v>
      </c>
      <c r="X4" s="166">
        <f>W4/$W$3</f>
        <v>0</v>
      </c>
      <c r="Y4" s="166" t="e">
        <f t="shared" ref="Y4:Y23" si="4">T4/W4-1</f>
        <v>#DIV/0!</v>
      </c>
      <c r="AA4" s="1"/>
    </row>
    <row r="5" spans="1:27" x14ac:dyDescent="0.2">
      <c r="B5" t="s">
        <v>2</v>
      </c>
      <c r="C5" s="1">
        <v>0</v>
      </c>
      <c r="D5" s="166">
        <f t="shared" si="0"/>
        <v>0</v>
      </c>
      <c r="F5" s="1">
        <v>13714.8</v>
      </c>
      <c r="G5" s="166">
        <f t="shared" si="1"/>
        <v>7.9881573045959681E-4</v>
      </c>
      <c r="I5" s="167">
        <f t="shared" ref="I5:I6" si="5">+C5/F5-1</f>
        <v>-1</v>
      </c>
      <c r="K5" t="s">
        <v>13</v>
      </c>
      <c r="L5" s="1">
        <v>225599.93</v>
      </c>
      <c r="M5" s="166">
        <f t="shared" si="2"/>
        <v>8.1092269149981872E-3</v>
      </c>
      <c r="O5" s="1">
        <v>204355.47</v>
      </c>
      <c r="P5" s="166">
        <f t="shared" si="3"/>
        <v>1.1902642695589015E-2</v>
      </c>
      <c r="Q5" s="166">
        <f t="shared" ref="Q5:Q9" si="6">+L5/O5-1</f>
        <v>0.10395836235751355</v>
      </c>
      <c r="S5" t="s">
        <v>30</v>
      </c>
      <c r="T5" s="1">
        <v>1567771.69</v>
      </c>
      <c r="U5" s="166">
        <f t="shared" ref="U5:U23" si="7">T5/$T$3</f>
        <v>8.1388063107743019E-2</v>
      </c>
      <c r="W5" s="1">
        <v>69150.31</v>
      </c>
      <c r="X5" s="166">
        <f t="shared" ref="X5:X23" si="8">W5/$W$3</f>
        <v>5.9237977518322863E-3</v>
      </c>
      <c r="Y5" s="166">
        <f t="shared" si="4"/>
        <v>21.671940154715141</v>
      </c>
      <c r="AA5" s="1"/>
    </row>
    <row r="6" spans="1:27" x14ac:dyDescent="0.2">
      <c r="B6" t="s">
        <v>179</v>
      </c>
      <c r="C6" s="1">
        <v>232.44</v>
      </c>
      <c r="D6" s="166">
        <f t="shared" si="0"/>
        <v>8.35509436604071E-6</v>
      </c>
      <c r="E6" s="1"/>
      <c r="F6" s="1">
        <v>884.64</v>
      </c>
      <c r="G6" s="166">
        <f t="shared" si="1"/>
        <v>5.152567648042828E-5</v>
      </c>
      <c r="I6" s="167">
        <f t="shared" si="5"/>
        <v>-0.73724905046120459</v>
      </c>
      <c r="K6" t="s">
        <v>14</v>
      </c>
      <c r="L6" s="1">
        <v>550804.81000000006</v>
      </c>
      <c r="M6" s="166">
        <f t="shared" si="2"/>
        <v>1.9798770284026521E-2</v>
      </c>
      <c r="O6" s="1">
        <v>550804.81000000006</v>
      </c>
      <c r="P6" s="166">
        <f t="shared" si="3"/>
        <v>3.208151388578831E-2</v>
      </c>
      <c r="Q6" s="166">
        <f t="shared" si="6"/>
        <v>0</v>
      </c>
      <c r="S6" t="s">
        <v>31</v>
      </c>
      <c r="T6" s="1">
        <v>0</v>
      </c>
      <c r="U6" s="166">
        <f t="shared" si="7"/>
        <v>0</v>
      </c>
      <c r="W6" s="1">
        <v>0</v>
      </c>
      <c r="X6" s="166">
        <f t="shared" si="8"/>
        <v>0</v>
      </c>
      <c r="Y6" s="166" t="e">
        <f t="shared" si="4"/>
        <v>#DIV/0!</v>
      </c>
      <c r="AA6" s="1"/>
    </row>
    <row r="7" spans="1:27" x14ac:dyDescent="0.2">
      <c r="B7" t="s">
        <v>5</v>
      </c>
      <c r="C7" s="1">
        <v>16758.07</v>
      </c>
      <c r="D7" s="166">
        <f t="shared" si="0"/>
        <v>6.0237160661984104E-4</v>
      </c>
      <c r="E7" s="1"/>
      <c r="F7" s="1">
        <v>6225.93</v>
      </c>
      <c r="G7" s="166">
        <f t="shared" si="1"/>
        <v>3.6262802379475586E-4</v>
      </c>
      <c r="I7" s="167">
        <f>+C7/F7-1</f>
        <v>1.6916573106347164</v>
      </c>
      <c r="K7" t="s">
        <v>175</v>
      </c>
      <c r="L7" s="1">
        <v>1694971.02</v>
      </c>
      <c r="M7" s="166">
        <f t="shared" si="2"/>
        <v>6.0926014540544984E-2</v>
      </c>
      <c r="O7" s="1">
        <v>1211595.93</v>
      </c>
      <c r="P7" s="166">
        <f t="shared" si="3"/>
        <v>7.0569157978594255E-2</v>
      </c>
      <c r="Q7" s="166">
        <f t="shared" si="6"/>
        <v>0.39895734050542742</v>
      </c>
      <c r="S7" t="s">
        <v>44</v>
      </c>
      <c r="T7" s="1">
        <v>-8868062</v>
      </c>
      <c r="U7" s="166">
        <f t="shared" si="7"/>
        <v>-0.46036957696268765</v>
      </c>
      <c r="W7" s="1">
        <v>-2666136.15</v>
      </c>
      <c r="X7" s="166">
        <f t="shared" si="8"/>
        <v>-0.22839595847724742</v>
      </c>
      <c r="Y7" s="166">
        <f t="shared" si="4"/>
        <v>2.3261849737118641</v>
      </c>
      <c r="AA7" s="1"/>
    </row>
    <row r="8" spans="1:27" x14ac:dyDescent="0.2">
      <c r="B8" t="s">
        <v>180</v>
      </c>
      <c r="C8" s="1">
        <v>29294.48</v>
      </c>
      <c r="D8" s="166">
        <f t="shared" si="0"/>
        <v>1.052994944089194E-3</v>
      </c>
      <c r="E8" s="1"/>
      <c r="F8" s="1">
        <v>426069.27</v>
      </c>
      <c r="G8" s="166">
        <f t="shared" si="1"/>
        <v>2.4816317783812904E-2</v>
      </c>
      <c r="I8" s="167">
        <f>+C8/F8-1</f>
        <v>-0.93124479500715929</v>
      </c>
      <c r="K8" t="s">
        <v>182</v>
      </c>
      <c r="L8" s="1">
        <v>1700155.03</v>
      </c>
      <c r="M8" s="166">
        <f t="shared" si="2"/>
        <v>6.1112354640116912E-2</v>
      </c>
      <c r="O8" s="1">
        <v>1812004.09</v>
      </c>
      <c r="P8" s="166">
        <f t="shared" si="3"/>
        <v>0.10553980887429107</v>
      </c>
      <c r="Q8" s="166">
        <f t="shared" si="6"/>
        <v>-6.1726714976675368E-2</v>
      </c>
      <c r="S8" t="s">
        <v>43</v>
      </c>
      <c r="T8" s="1">
        <v>-3694571.46</v>
      </c>
      <c r="U8" s="166">
        <f t="shared" si="7"/>
        <v>-0.19179706908889668</v>
      </c>
      <c r="W8" s="1">
        <v>-3627121.24</v>
      </c>
      <c r="X8" s="166">
        <f t="shared" si="8"/>
        <v>-0.31071925269944761</v>
      </c>
      <c r="Y8" s="166">
        <f t="shared" si="4"/>
        <v>1.8596075382360189E-2</v>
      </c>
      <c r="AA8" s="1"/>
    </row>
    <row r="9" spans="1:27" x14ac:dyDescent="0.2">
      <c r="C9" s="2">
        <f>SUM(C4:C8)</f>
        <v>12218218.800000001</v>
      </c>
      <c r="D9" s="166">
        <f t="shared" si="0"/>
        <v>0.43918590199162233</v>
      </c>
      <c r="F9" s="2">
        <f>SUM(F4:F8)</f>
        <v>11815611.82</v>
      </c>
      <c r="G9" s="166">
        <f t="shared" si="1"/>
        <v>0.68819790203432396</v>
      </c>
      <c r="I9" s="167">
        <f>+C9/F9-1</f>
        <v>3.4074154274306601E-2</v>
      </c>
      <c r="K9" t="s">
        <v>183</v>
      </c>
      <c r="L9" s="1">
        <v>67544.86</v>
      </c>
      <c r="M9" s="166">
        <f t="shared" si="2"/>
        <v>2.4279111996257465E-3</v>
      </c>
      <c r="O9" s="1">
        <v>75411.990000000005</v>
      </c>
      <c r="P9" s="166">
        <f t="shared" si="3"/>
        <v>4.3923559860341976E-3</v>
      </c>
      <c r="Q9" s="166">
        <f t="shared" si="6"/>
        <v>-0.10432200502864342</v>
      </c>
      <c r="S9" t="s">
        <v>46</v>
      </c>
      <c r="T9" s="1">
        <v>-3873564.61</v>
      </c>
      <c r="U9" s="166">
        <f t="shared" si="7"/>
        <v>-0.20108917831690148</v>
      </c>
      <c r="W9" s="1">
        <v>-3041754.1</v>
      </c>
      <c r="X9" s="166">
        <f t="shared" si="8"/>
        <v>-0.26057346813349991</v>
      </c>
      <c r="Y9" s="166">
        <f t="shared" si="4"/>
        <v>0.27346408771175801</v>
      </c>
      <c r="AA9" s="1"/>
    </row>
    <row r="10" spans="1:27" x14ac:dyDescent="0.2">
      <c r="C10" s="1"/>
      <c r="D10" s="1"/>
      <c r="F10" s="1"/>
      <c r="G10" s="1"/>
      <c r="K10" t="s">
        <v>15</v>
      </c>
      <c r="L10" s="1">
        <v>1996590.74</v>
      </c>
      <c r="M10" s="166">
        <f t="shared" si="2"/>
        <v>7.176778542016457E-2</v>
      </c>
      <c r="O10" s="1">
        <v>424889.22</v>
      </c>
      <c r="P10" s="166">
        <f t="shared" si="3"/>
        <v>2.4747586012097027E-2</v>
      </c>
      <c r="Q10" s="166">
        <f>+L10/O10-1</f>
        <v>3.6990854227838499</v>
      </c>
      <c r="S10" t="s">
        <v>45</v>
      </c>
      <c r="T10" s="1">
        <v>-136080.03</v>
      </c>
      <c r="U10" s="166">
        <f t="shared" si="7"/>
        <v>-7.0643513593127609E-3</v>
      </c>
      <c r="W10" s="1">
        <f>-38405.87-213117.77</f>
        <v>-251523.63999999998</v>
      </c>
      <c r="X10" s="166">
        <f t="shared" si="8"/>
        <v>-2.154690518617593E-2</v>
      </c>
      <c r="Y10" s="166">
        <f t="shared" si="4"/>
        <v>-0.45897717606186039</v>
      </c>
      <c r="AA10" s="1"/>
    </row>
    <row r="11" spans="1:27" x14ac:dyDescent="0.2">
      <c r="A11" t="s">
        <v>3</v>
      </c>
      <c r="C11" s="1"/>
      <c r="D11" s="1"/>
      <c r="F11" s="1"/>
      <c r="G11" s="1"/>
      <c r="L11" s="2">
        <f>SUM(L4:L10)</f>
        <v>9903466.3900000006</v>
      </c>
      <c r="M11" s="166">
        <f t="shared" si="2"/>
        <v>0.35598174255447662</v>
      </c>
      <c r="O11" s="2">
        <f>SUM(O4:O10)</f>
        <v>7946861.5099999998</v>
      </c>
      <c r="P11" s="166">
        <f t="shared" si="3"/>
        <v>0.46286332881062098</v>
      </c>
      <c r="Q11" s="166">
        <f>+L11/O11-1</f>
        <v>0.24621102022954489</v>
      </c>
      <c r="S11" t="s">
        <v>32</v>
      </c>
      <c r="T11" s="1">
        <v>200000</v>
      </c>
      <c r="U11" s="166">
        <f t="shared" si="7"/>
        <v>1.0382642272069989E-2</v>
      </c>
      <c r="W11" s="1">
        <v>0</v>
      </c>
      <c r="X11" s="166">
        <f t="shared" si="8"/>
        <v>0</v>
      </c>
      <c r="Y11" s="166" t="e">
        <f t="shared" si="4"/>
        <v>#DIV/0!</v>
      </c>
      <c r="AA11" s="1"/>
    </row>
    <row r="12" spans="1:27" x14ac:dyDescent="0.2">
      <c r="B12" t="s">
        <v>4</v>
      </c>
      <c r="C12" s="1">
        <v>8132913.0199999996</v>
      </c>
      <c r="D12" s="166">
        <f t="shared" ref="D12:D18" si="9">C12/$C$23</f>
        <v>0.29233890790268946</v>
      </c>
      <c r="F12" s="1">
        <v>2106889.9</v>
      </c>
      <c r="G12" s="166">
        <f t="shared" ref="G12:G18" si="10">F12/$F$23</f>
        <v>0.12271537277003287</v>
      </c>
      <c r="I12" s="167">
        <f t="shared" ref="I12:I13" si="11">+C12/F12-1</f>
        <v>2.8601509362212045</v>
      </c>
      <c r="S12" t="s">
        <v>36</v>
      </c>
      <c r="T12" s="1">
        <v>8.6</v>
      </c>
      <c r="U12" s="166">
        <f t="shared" si="7"/>
        <v>4.4645361769900946E-7</v>
      </c>
      <c r="W12" s="1">
        <v>-2146.0300000000002</v>
      </c>
      <c r="X12" s="166">
        <f t="shared" si="8"/>
        <v>-1.8384079101546534E-4</v>
      </c>
      <c r="Y12" s="166">
        <f t="shared" si="4"/>
        <v>-1.0040073997101624</v>
      </c>
      <c r="AA12" s="1"/>
    </row>
    <row r="13" spans="1:27" x14ac:dyDescent="0.2">
      <c r="B13" t="s">
        <v>5</v>
      </c>
      <c r="C13" s="1">
        <v>3812140.1</v>
      </c>
      <c r="D13" s="166">
        <f t="shared" si="9"/>
        <v>0.13702800839815812</v>
      </c>
      <c r="F13" s="1">
        <v>1667750.51</v>
      </c>
      <c r="G13" s="166">
        <f t="shared" si="10"/>
        <v>9.7137788510952783E-2</v>
      </c>
      <c r="I13" s="167">
        <f t="shared" si="11"/>
        <v>1.2857975921110647</v>
      </c>
      <c r="J13" t="s">
        <v>18</v>
      </c>
      <c r="L13" s="1"/>
      <c r="M13" s="1"/>
      <c r="O13" s="1"/>
      <c r="P13" s="1"/>
      <c r="Q13" s="1"/>
      <c r="S13" t="s">
        <v>33</v>
      </c>
      <c r="T13" s="1">
        <v>1163220.8999999999</v>
      </c>
      <c r="U13" s="166">
        <f t="shared" si="7"/>
        <v>6.0386532440476481E-2</v>
      </c>
      <c r="W13" s="1">
        <v>529591.93000000005</v>
      </c>
      <c r="X13" s="166">
        <f t="shared" si="8"/>
        <v>4.5367771804964027E-2</v>
      </c>
      <c r="Y13" s="166">
        <f t="shared" si="4"/>
        <v>1.1964475553847653</v>
      </c>
      <c r="AA13" s="1"/>
    </row>
    <row r="14" spans="1:27" x14ac:dyDescent="0.2">
      <c r="B14" t="s">
        <v>6</v>
      </c>
      <c r="C14" s="1">
        <v>732126.59</v>
      </c>
      <c r="D14" s="166">
        <f t="shared" si="9"/>
        <v>2.6316411750721032E-2</v>
      </c>
      <c r="F14" s="1">
        <v>529268.73</v>
      </c>
      <c r="G14" s="166">
        <f t="shared" si="10"/>
        <v>3.0827149295970274E-2</v>
      </c>
      <c r="I14" s="167">
        <f>+C14/F14-1</f>
        <v>0.38327951095845014</v>
      </c>
      <c r="K14" t="s">
        <v>21</v>
      </c>
      <c r="L14" s="1"/>
      <c r="M14" s="1"/>
      <c r="O14" s="1"/>
      <c r="P14" s="1"/>
      <c r="Q14" s="1"/>
      <c r="S14" t="s">
        <v>34</v>
      </c>
      <c r="T14" s="1">
        <v>-232923.18</v>
      </c>
      <c r="U14" s="166">
        <f t="shared" si="7"/>
        <v>-1.2091790274064835E-2</v>
      </c>
      <c r="W14" s="1">
        <v>-256399.64</v>
      </c>
      <c r="X14" s="166">
        <f t="shared" si="8"/>
        <v>-2.1964610296072537E-2</v>
      </c>
      <c r="Y14" s="166">
        <f t="shared" si="4"/>
        <v>-9.1561985032428406E-2</v>
      </c>
      <c r="AA14" s="1"/>
    </row>
    <row r="15" spans="1:27" x14ac:dyDescent="0.2">
      <c r="B15" t="s">
        <v>7</v>
      </c>
      <c r="C15" s="1">
        <v>5633.12</v>
      </c>
      <c r="D15" s="166">
        <f t="shared" si="9"/>
        <v>2.024834330374774E-4</v>
      </c>
      <c r="F15" s="1">
        <v>392445.95</v>
      </c>
      <c r="G15" s="166">
        <f t="shared" si="10"/>
        <v>2.2857934363983465E-2</v>
      </c>
      <c r="I15" s="167">
        <f>+C15/F15-1</f>
        <v>-0.98564612528171081</v>
      </c>
      <c r="K15" t="s">
        <v>184</v>
      </c>
      <c r="L15" s="1">
        <v>7573.36</v>
      </c>
      <c r="M15" s="166">
        <f>L15/$L$30</f>
        <v>2.7222568175872517E-4</v>
      </c>
      <c r="O15" s="1">
        <v>207573.36</v>
      </c>
      <c r="P15" s="166">
        <f>O15/$O$30</f>
        <v>1.2090068042724127E-2</v>
      </c>
      <c r="Q15" s="166">
        <f t="shared" ref="Q15" si="12">+L15/O15-1</f>
        <v>-0.96351477858237689</v>
      </c>
      <c r="S15" s="5" t="s">
        <v>47</v>
      </c>
      <c r="T15" s="8">
        <f>SUM(T3:T14)</f>
        <v>5388719.1900000013</v>
      </c>
      <c r="U15" s="166">
        <f t="shared" si="7"/>
        <v>0.27974571827204381</v>
      </c>
      <c r="V15" s="5"/>
      <c r="W15" s="8">
        <f>SUM(W3:W14)</f>
        <v>2426968.4799999991</v>
      </c>
      <c r="X15" s="166">
        <f t="shared" si="8"/>
        <v>0.20790753397333744</v>
      </c>
      <c r="Y15" s="166">
        <f t="shared" si="4"/>
        <v>1.2203498868679183</v>
      </c>
      <c r="AA15" s="1"/>
    </row>
    <row r="16" spans="1:27" x14ac:dyDescent="0.2">
      <c r="B16" t="s">
        <v>8</v>
      </c>
      <c r="C16" s="1">
        <v>2662403.34</v>
      </c>
      <c r="D16" s="166">
        <f t="shared" si="9"/>
        <v>9.570052979763366E-2</v>
      </c>
      <c r="F16" s="1">
        <v>498151.93</v>
      </c>
      <c r="G16" s="166">
        <f t="shared" si="10"/>
        <v>2.901475762262723E-2</v>
      </c>
      <c r="I16" s="167">
        <f>+C16/F16-1</f>
        <v>4.344560925418878</v>
      </c>
      <c r="K16" t="s">
        <v>185</v>
      </c>
      <c r="L16" s="1">
        <v>2943512.91</v>
      </c>
      <c r="M16" s="166">
        <f t="shared" ref="M16:M18" si="13">L16/$L$30</f>
        <v>0.10580505993249484</v>
      </c>
      <c r="O16" s="1">
        <v>3912732.59</v>
      </c>
      <c r="S16" t="s">
        <v>35</v>
      </c>
      <c r="T16" s="1">
        <v>-1749536.9</v>
      </c>
      <c r="U16" s="166">
        <f t="shared" si="7"/>
        <v>-9.0824078872431421E-2</v>
      </c>
      <c r="W16" s="1">
        <v>-1753234.33</v>
      </c>
      <c r="X16" s="166">
        <f t="shared" si="8"/>
        <v>-0.15019174292189269</v>
      </c>
      <c r="Y16" s="166">
        <f t="shared" si="4"/>
        <v>-2.1089194620095286E-3</v>
      </c>
      <c r="AA16" s="1"/>
    </row>
    <row r="17" spans="2:27" x14ac:dyDescent="0.2">
      <c r="B17" t="s">
        <v>9</v>
      </c>
      <c r="C17" s="1">
        <v>256717.6</v>
      </c>
      <c r="D17" s="166">
        <f t="shared" si="9"/>
        <v>9.2277567261378965E-3</v>
      </c>
      <c r="F17" s="1">
        <v>158796.94</v>
      </c>
      <c r="G17" s="166">
        <f t="shared" si="10"/>
        <v>9.24909540210931E-3</v>
      </c>
      <c r="I17" s="167">
        <f>+C17/F17-1</f>
        <v>0.61664072368145129</v>
      </c>
      <c r="K17" t="s">
        <v>19</v>
      </c>
      <c r="L17" s="1">
        <v>1895542.52</v>
      </c>
      <c r="M17" s="166">
        <f t="shared" si="13"/>
        <v>6.8135590386519576E-2</v>
      </c>
      <c r="O17" s="1">
        <v>0</v>
      </c>
      <c r="P17" s="166">
        <f>O17/$O$30</f>
        <v>0</v>
      </c>
      <c r="Q17" s="166" t="e">
        <f t="shared" ref="Q17" si="14">+L17/O17-1</f>
        <v>#DIV/0!</v>
      </c>
      <c r="S17" t="s">
        <v>37</v>
      </c>
      <c r="T17" s="1">
        <v>0</v>
      </c>
      <c r="U17" s="166">
        <f t="shared" si="7"/>
        <v>0</v>
      </c>
      <c r="W17" s="1">
        <v>0</v>
      </c>
      <c r="X17" s="166">
        <f t="shared" si="8"/>
        <v>0</v>
      </c>
      <c r="Y17" s="166" t="e">
        <f t="shared" si="4"/>
        <v>#DIV/0!</v>
      </c>
      <c r="AA17" s="1"/>
    </row>
    <row r="18" spans="2:27" x14ac:dyDescent="0.2">
      <c r="C18" s="2">
        <f>SUM(C12:C17)</f>
        <v>15601933.769999998</v>
      </c>
      <c r="D18" s="166">
        <f t="shared" si="9"/>
        <v>0.56081409800837756</v>
      </c>
      <c r="F18" s="2">
        <f>SUM(F12:F17)</f>
        <v>5353303.9600000009</v>
      </c>
      <c r="G18" s="166">
        <f t="shared" si="10"/>
        <v>0.31180209796567598</v>
      </c>
      <c r="I18" s="167">
        <f>+C18/F18-1</f>
        <v>1.914449447776172</v>
      </c>
      <c r="K18" t="s">
        <v>186</v>
      </c>
      <c r="L18" s="1">
        <v>746290.57</v>
      </c>
      <c r="M18" s="166">
        <f t="shared" si="13"/>
        <v>2.682553836188397E-2</v>
      </c>
      <c r="O18" s="1">
        <v>789039</v>
      </c>
      <c r="S18" s="5" t="s">
        <v>38</v>
      </c>
      <c r="T18" s="8">
        <f>SUM(T15:T17)</f>
        <v>3639182.2900000014</v>
      </c>
      <c r="U18" s="166">
        <f t="shared" si="7"/>
        <v>0.1889216393996124</v>
      </c>
      <c r="W18" s="8">
        <f>SUM(W15:W17)</f>
        <v>673734.14999999898</v>
      </c>
      <c r="X18" s="166">
        <f t="shared" si="8"/>
        <v>5.7715791051444754E-2</v>
      </c>
      <c r="Y18" s="166">
        <f t="shared" si="4"/>
        <v>4.4015108036307895</v>
      </c>
      <c r="AA18" s="1"/>
    </row>
    <row r="19" spans="2:27" x14ac:dyDescent="0.2">
      <c r="K19" t="s">
        <v>187</v>
      </c>
      <c r="L19" s="1">
        <v>513203.18</v>
      </c>
      <c r="M19" s="166">
        <f>L19/$L$30</f>
        <v>1.8447173454879437E-2</v>
      </c>
      <c r="O19" s="1">
        <v>547959.5</v>
      </c>
      <c r="P19" s="166">
        <f>O19/$O$30</f>
        <v>3.1915789384808782E-2</v>
      </c>
      <c r="Q19" s="166">
        <f>+L19/O19-1</f>
        <v>-6.3428629305632978E-2</v>
      </c>
      <c r="S19" t="s">
        <v>40</v>
      </c>
      <c r="T19" s="1">
        <v>0</v>
      </c>
      <c r="U19" s="166">
        <f t="shared" si="7"/>
        <v>0</v>
      </c>
      <c r="W19" s="1">
        <v>0</v>
      </c>
      <c r="X19" s="166">
        <f t="shared" si="8"/>
        <v>0</v>
      </c>
      <c r="Y19" s="166" t="e">
        <f t="shared" si="4"/>
        <v>#DIV/0!</v>
      </c>
      <c r="AA19" s="1"/>
    </row>
    <row r="20" spans="2:27" x14ac:dyDescent="0.2">
      <c r="L20" s="2">
        <f>SUM(L15:L19)</f>
        <v>6106122.54</v>
      </c>
      <c r="M20" s="166">
        <f>L20/$L$30</f>
        <v>0.21948558781753655</v>
      </c>
      <c r="O20" s="2">
        <f>SUM(O15:O19)</f>
        <v>5457304.4499999993</v>
      </c>
      <c r="P20" s="166">
        <f>O20/$O$30</f>
        <v>0.31785958530690628</v>
      </c>
      <c r="Q20" s="166">
        <f>+L20/O20-1</f>
        <v>0.11888984679973302</v>
      </c>
      <c r="S20" t="s">
        <v>39</v>
      </c>
      <c r="T20" s="1">
        <v>-559724.43000000005</v>
      </c>
      <c r="U20" s="166">
        <f t="shared" si="7"/>
        <v>-2.90570926381414E-2</v>
      </c>
      <c r="W20" s="1">
        <v>-168547.92</v>
      </c>
      <c r="X20" s="166">
        <f t="shared" si="8"/>
        <v>-1.4438746400009026E-2</v>
      </c>
      <c r="Y20" s="166">
        <f t="shared" si="4"/>
        <v>2.3208622805905881</v>
      </c>
      <c r="AA20" s="1"/>
    </row>
    <row r="21" spans="2:27" x14ac:dyDescent="0.2">
      <c r="K21" t="s">
        <v>20</v>
      </c>
      <c r="L21" s="1"/>
      <c r="M21" s="1"/>
      <c r="O21" s="1"/>
      <c r="P21" s="1"/>
      <c r="Q21" s="1"/>
      <c r="S21" s="5" t="s">
        <v>41</v>
      </c>
      <c r="T21" s="8">
        <f>SUM(T18:T20)</f>
        <v>3079457.8600000013</v>
      </c>
      <c r="U21" s="166">
        <f t="shared" si="7"/>
        <v>0.15986454676147099</v>
      </c>
      <c r="W21" s="8">
        <f>SUM(W18:W20)</f>
        <v>505186.22999999893</v>
      </c>
      <c r="X21" s="166">
        <f t="shared" si="8"/>
        <v>4.3277044651435725E-2</v>
      </c>
      <c r="Y21" s="166">
        <f t="shared" si="4"/>
        <v>5.0956884355300183</v>
      </c>
      <c r="AA21" s="1"/>
    </row>
    <row r="22" spans="2:27" x14ac:dyDescent="0.2">
      <c r="K22" t="s">
        <v>23</v>
      </c>
      <c r="L22" s="1">
        <v>3404814.37</v>
      </c>
      <c r="M22" s="166">
        <f t="shared" ref="M22:M29" si="15">L22/$L$30</f>
        <v>0.12238661745053112</v>
      </c>
      <c r="O22" s="1">
        <v>949174.75</v>
      </c>
      <c r="P22" s="166">
        <f t="shared" ref="P22:P29" si="16">O22/$O$30</f>
        <v>5.5284489839812115E-2</v>
      </c>
      <c r="Q22" s="166">
        <f t="shared" ref="Q22:Q30" si="17">+L22/O22-1</f>
        <v>2.5871312105594888</v>
      </c>
      <c r="S22" t="s">
        <v>42</v>
      </c>
      <c r="T22" s="1">
        <v>-1082867.1200000001</v>
      </c>
      <c r="U22" s="166">
        <f t="shared" si="7"/>
        <v>-5.6215109675733434E-2</v>
      </c>
      <c r="W22" s="1">
        <v>-80297.009999999995</v>
      </c>
      <c r="X22" s="166">
        <f t="shared" si="8"/>
        <v>-6.8786856822023587E-3</v>
      </c>
      <c r="Y22" s="166">
        <f t="shared" si="4"/>
        <v>12.485771388000627</v>
      </c>
      <c r="AA22" s="1"/>
    </row>
    <row r="23" spans="2:27" ht="13.5" thickBot="1" x14ac:dyDescent="0.25">
      <c r="B23" s="3" t="s">
        <v>10</v>
      </c>
      <c r="C23" s="4">
        <f>+C18+C9</f>
        <v>27820152.57</v>
      </c>
      <c r="D23" s="165"/>
      <c r="F23" s="4">
        <f>+F18+F9</f>
        <v>17168915.780000001</v>
      </c>
      <c r="G23" s="165"/>
      <c r="I23" s="167">
        <f t="shared" ref="I23" si="18">+C23/F23-1</f>
        <v>0.62037911575101212</v>
      </c>
      <c r="K23" t="s">
        <v>22</v>
      </c>
      <c r="L23" s="1">
        <v>0</v>
      </c>
      <c r="M23" s="166">
        <f t="shared" si="15"/>
        <v>0</v>
      </c>
      <c r="O23" s="1">
        <v>0</v>
      </c>
      <c r="P23" s="166">
        <f t="shared" si="16"/>
        <v>0</v>
      </c>
      <c r="Q23" s="166" t="e">
        <f t="shared" si="17"/>
        <v>#DIV/0!</v>
      </c>
      <c r="S23" s="5" t="s">
        <v>15</v>
      </c>
      <c r="T23" s="4">
        <f>SUM(T21:T22)</f>
        <v>1996590.7400000012</v>
      </c>
      <c r="U23" s="166">
        <f t="shared" si="7"/>
        <v>0.10364943708573755</v>
      </c>
      <c r="W23" s="4">
        <f>SUM(W21:W22)</f>
        <v>424889.21999999892</v>
      </c>
      <c r="X23" s="166">
        <f t="shared" si="8"/>
        <v>3.6398358969233366E-2</v>
      </c>
      <c r="Y23" s="166">
        <f t="shared" si="4"/>
        <v>3.6990854227838641</v>
      </c>
      <c r="AA23" s="1"/>
    </row>
    <row r="24" spans="2:27" ht="13.5" thickTop="1" x14ac:dyDescent="0.2">
      <c r="K24" t="s">
        <v>24</v>
      </c>
      <c r="L24" s="1">
        <v>836297.75</v>
      </c>
      <c r="M24" s="166">
        <f t="shared" si="15"/>
        <v>3.0060861380818805E-2</v>
      </c>
      <c r="O24" s="1">
        <v>118868.26</v>
      </c>
      <c r="P24" s="166">
        <f t="shared" si="16"/>
        <v>6.9234575743256392E-3</v>
      </c>
      <c r="Q24" s="166">
        <f t="shared" si="17"/>
        <v>6.035500898221275</v>
      </c>
      <c r="T24" s="1"/>
      <c r="U24" s="1"/>
      <c r="W24" s="1"/>
      <c r="X24" s="1"/>
      <c r="AA24" s="1"/>
    </row>
    <row r="25" spans="2:27" x14ac:dyDescent="0.2">
      <c r="K25" t="s">
        <v>19</v>
      </c>
      <c r="L25" s="1">
        <v>3471765.68</v>
      </c>
      <c r="M25" s="166">
        <f t="shared" si="15"/>
        <v>0.12479319339692609</v>
      </c>
      <c r="O25" s="1">
        <v>1568.37</v>
      </c>
      <c r="P25" s="166">
        <f t="shared" si="16"/>
        <v>9.1349390963114146E-5</v>
      </c>
      <c r="Q25" s="166">
        <f t="shared" si="17"/>
        <v>2212.6139303863251</v>
      </c>
      <c r="AA25" s="1"/>
    </row>
    <row r="26" spans="2:27" x14ac:dyDescent="0.2">
      <c r="K26" t="s">
        <v>25</v>
      </c>
      <c r="L26" s="1">
        <v>3683903.39</v>
      </c>
      <c r="M26" s="166">
        <f t="shared" si="15"/>
        <v>0.13241851858039613</v>
      </c>
      <c r="O26" s="1">
        <v>2509585.9</v>
      </c>
      <c r="P26" s="166">
        <f t="shared" si="16"/>
        <v>0.14617031920695925</v>
      </c>
      <c r="Q26" s="166">
        <f t="shared" si="17"/>
        <v>0.46793277329140248</v>
      </c>
      <c r="AA26" s="1"/>
    </row>
    <row r="27" spans="2:27" x14ac:dyDescent="0.2">
      <c r="K27" t="s">
        <v>176</v>
      </c>
      <c r="L27" s="1">
        <v>413782.45</v>
      </c>
      <c r="M27" s="166">
        <f t="shared" si="15"/>
        <v>1.4873478819314757E-2</v>
      </c>
      <c r="O27" s="1">
        <v>185552.54</v>
      </c>
      <c r="P27" s="166">
        <f t="shared" si="16"/>
        <v>1.0807469870412516E-2</v>
      </c>
      <c r="Q27" s="166">
        <f t="shared" si="17"/>
        <v>1.2300015402645523</v>
      </c>
      <c r="AA27" s="1"/>
    </row>
    <row r="28" spans="2:27" x14ac:dyDescent="0.2">
      <c r="L28" s="2">
        <f>SUM(L22:L27)</f>
        <v>11810563.640000001</v>
      </c>
      <c r="M28" s="166">
        <f t="shared" si="15"/>
        <v>0.42453266962798691</v>
      </c>
      <c r="O28" s="2">
        <f>SUM(O22:O27)</f>
        <v>3764749.8200000003</v>
      </c>
      <c r="P28" s="166">
        <f t="shared" si="16"/>
        <v>0.21927708588247266</v>
      </c>
      <c r="Q28" s="166">
        <f t="shared" si="17"/>
        <v>2.1371443534593224</v>
      </c>
      <c r="AA28" s="1"/>
    </row>
    <row r="29" spans="2:27" x14ac:dyDescent="0.2">
      <c r="K29" t="s">
        <v>26</v>
      </c>
      <c r="L29" s="2">
        <f>+L28+L20</f>
        <v>17916686.18</v>
      </c>
      <c r="M29" s="166">
        <f t="shared" si="15"/>
        <v>0.64401825744552343</v>
      </c>
      <c r="O29" s="2">
        <f>+O28+O20</f>
        <v>9222054.2699999996</v>
      </c>
      <c r="P29" s="166">
        <f t="shared" si="16"/>
        <v>0.53713667118937891</v>
      </c>
      <c r="Q29" s="166">
        <f t="shared" si="17"/>
        <v>0.94280858206226981</v>
      </c>
      <c r="AA29" s="1"/>
    </row>
    <row r="30" spans="2:27" ht="13.5" thickBot="1" x14ac:dyDescent="0.25">
      <c r="K30" s="3" t="s">
        <v>27</v>
      </c>
      <c r="L30" s="4">
        <f>+L29+L11</f>
        <v>27820152.57</v>
      </c>
      <c r="M30" s="165"/>
      <c r="O30" s="4">
        <f>+O29+O11</f>
        <v>17168915.780000001</v>
      </c>
      <c r="P30" s="165"/>
      <c r="Q30" s="166">
        <f t="shared" si="17"/>
        <v>0.62037911575101212</v>
      </c>
      <c r="AA30" s="1"/>
    </row>
    <row r="31" spans="2:27" ht="13.5" thickTop="1" x14ac:dyDescent="0.2"/>
    <row r="33" spans="1:2" x14ac:dyDescent="0.2">
      <c r="A33" t="s">
        <v>189</v>
      </c>
      <c r="B33" t="s">
        <v>190</v>
      </c>
    </row>
    <row r="34" spans="1:2" x14ac:dyDescent="0.2">
      <c r="A34" t="s">
        <v>191</v>
      </c>
    </row>
  </sheetData>
  <mergeCells count="4">
    <mergeCell ref="J2:O2"/>
    <mergeCell ref="A2:F2"/>
    <mergeCell ref="F1:G1"/>
    <mergeCell ref="C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00"/>
  <sheetViews>
    <sheetView showGridLines="0" view="pageBreakPreview" topLeftCell="A55" zoomScale="85" zoomScaleNormal="85" workbookViewId="0">
      <selection activeCell="C86" sqref="C86"/>
    </sheetView>
  </sheetViews>
  <sheetFormatPr defaultRowHeight="12.75" x14ac:dyDescent="0.2"/>
  <cols>
    <col min="1" max="1" width="9.140625" style="11"/>
    <col min="2" max="2" width="44.5703125" style="11" bestFit="1" customWidth="1"/>
    <col min="3" max="3" width="15.42578125" style="11" bestFit="1" customWidth="1"/>
    <col min="4" max="4" width="15.5703125" style="11" bestFit="1" customWidth="1"/>
    <col min="5" max="5" width="9.7109375" style="11" bestFit="1" customWidth="1"/>
    <col min="6" max="6" width="44.5703125" style="11" bestFit="1" customWidth="1"/>
    <col min="7" max="7" width="10.28515625" style="11" customWidth="1"/>
    <col min="8" max="8" width="9.85546875" style="11" customWidth="1"/>
    <col min="9" max="255" width="9.140625" style="11"/>
    <col min="256" max="256" width="44.5703125" style="11" bestFit="1" customWidth="1"/>
    <col min="257" max="258" width="15.42578125" style="11" bestFit="1" customWidth="1"/>
    <col min="259" max="260" width="15.5703125" style="11" bestFit="1" customWidth="1"/>
    <col min="261" max="261" width="9.7109375" style="11" bestFit="1" customWidth="1"/>
    <col min="262" max="262" width="8.85546875" style="11" bestFit="1" customWidth="1"/>
    <col min="263" max="511" width="9.140625" style="11"/>
    <col min="512" max="512" width="44.5703125" style="11" bestFit="1" customWidth="1"/>
    <col min="513" max="514" width="15.42578125" style="11" bestFit="1" customWidth="1"/>
    <col min="515" max="516" width="15.5703125" style="11" bestFit="1" customWidth="1"/>
    <col min="517" max="517" width="9.7109375" style="11" bestFit="1" customWidth="1"/>
    <col min="518" max="518" width="8.85546875" style="11" bestFit="1" customWidth="1"/>
    <col min="519" max="767" width="9.140625" style="11"/>
    <col min="768" max="768" width="44.5703125" style="11" bestFit="1" customWidth="1"/>
    <col min="769" max="770" width="15.42578125" style="11" bestFit="1" customWidth="1"/>
    <col min="771" max="772" width="15.5703125" style="11" bestFit="1" customWidth="1"/>
    <col min="773" max="773" width="9.7109375" style="11" bestFit="1" customWidth="1"/>
    <col min="774" max="774" width="8.85546875" style="11" bestFit="1" customWidth="1"/>
    <col min="775" max="1023" width="9.140625" style="11"/>
    <col min="1024" max="1024" width="44.5703125" style="11" bestFit="1" customWidth="1"/>
    <col min="1025" max="1026" width="15.42578125" style="11" bestFit="1" customWidth="1"/>
    <col min="1027" max="1028" width="15.5703125" style="11" bestFit="1" customWidth="1"/>
    <col min="1029" max="1029" width="9.7109375" style="11" bestFit="1" customWidth="1"/>
    <col min="1030" max="1030" width="8.85546875" style="11" bestFit="1" customWidth="1"/>
    <col min="1031" max="1279" width="9.140625" style="11"/>
    <col min="1280" max="1280" width="44.5703125" style="11" bestFit="1" customWidth="1"/>
    <col min="1281" max="1282" width="15.42578125" style="11" bestFit="1" customWidth="1"/>
    <col min="1283" max="1284" width="15.5703125" style="11" bestFit="1" customWidth="1"/>
    <col min="1285" max="1285" width="9.7109375" style="11" bestFit="1" customWidth="1"/>
    <col min="1286" max="1286" width="8.85546875" style="11" bestFit="1" customWidth="1"/>
    <col min="1287" max="1535" width="9.140625" style="11"/>
    <col min="1536" max="1536" width="44.5703125" style="11" bestFit="1" customWidth="1"/>
    <col min="1537" max="1538" width="15.42578125" style="11" bestFit="1" customWidth="1"/>
    <col min="1539" max="1540" width="15.5703125" style="11" bestFit="1" customWidth="1"/>
    <col min="1541" max="1541" width="9.7109375" style="11" bestFit="1" customWidth="1"/>
    <col min="1542" max="1542" width="8.85546875" style="11" bestFit="1" customWidth="1"/>
    <col min="1543" max="1791" width="9.140625" style="11"/>
    <col min="1792" max="1792" width="44.5703125" style="11" bestFit="1" customWidth="1"/>
    <col min="1793" max="1794" width="15.42578125" style="11" bestFit="1" customWidth="1"/>
    <col min="1795" max="1796" width="15.5703125" style="11" bestFit="1" customWidth="1"/>
    <col min="1797" max="1797" width="9.7109375" style="11" bestFit="1" customWidth="1"/>
    <col min="1798" max="1798" width="8.85546875" style="11" bestFit="1" customWidth="1"/>
    <col min="1799" max="2047" width="9.140625" style="11"/>
    <col min="2048" max="2048" width="44.5703125" style="11" bestFit="1" customWidth="1"/>
    <col min="2049" max="2050" width="15.42578125" style="11" bestFit="1" customWidth="1"/>
    <col min="2051" max="2052" width="15.5703125" style="11" bestFit="1" customWidth="1"/>
    <col min="2053" max="2053" width="9.7109375" style="11" bestFit="1" customWidth="1"/>
    <col min="2054" max="2054" width="8.85546875" style="11" bestFit="1" customWidth="1"/>
    <col min="2055" max="2303" width="9.140625" style="11"/>
    <col min="2304" max="2304" width="44.5703125" style="11" bestFit="1" customWidth="1"/>
    <col min="2305" max="2306" width="15.42578125" style="11" bestFit="1" customWidth="1"/>
    <col min="2307" max="2308" width="15.5703125" style="11" bestFit="1" customWidth="1"/>
    <col min="2309" max="2309" width="9.7109375" style="11" bestFit="1" customWidth="1"/>
    <col min="2310" max="2310" width="8.85546875" style="11" bestFit="1" customWidth="1"/>
    <col min="2311" max="2559" width="9.140625" style="11"/>
    <col min="2560" max="2560" width="44.5703125" style="11" bestFit="1" customWidth="1"/>
    <col min="2561" max="2562" width="15.42578125" style="11" bestFit="1" customWidth="1"/>
    <col min="2563" max="2564" width="15.5703125" style="11" bestFit="1" customWidth="1"/>
    <col min="2565" max="2565" width="9.7109375" style="11" bestFit="1" customWidth="1"/>
    <col min="2566" max="2566" width="8.85546875" style="11" bestFit="1" customWidth="1"/>
    <col min="2567" max="2815" width="9.140625" style="11"/>
    <col min="2816" max="2816" width="44.5703125" style="11" bestFit="1" customWidth="1"/>
    <col min="2817" max="2818" width="15.42578125" style="11" bestFit="1" customWidth="1"/>
    <col min="2819" max="2820" width="15.5703125" style="11" bestFit="1" customWidth="1"/>
    <col min="2821" max="2821" width="9.7109375" style="11" bestFit="1" customWidth="1"/>
    <col min="2822" max="2822" width="8.85546875" style="11" bestFit="1" customWidth="1"/>
    <col min="2823" max="3071" width="9.140625" style="11"/>
    <col min="3072" max="3072" width="44.5703125" style="11" bestFit="1" customWidth="1"/>
    <col min="3073" max="3074" width="15.42578125" style="11" bestFit="1" customWidth="1"/>
    <col min="3075" max="3076" width="15.5703125" style="11" bestFit="1" customWidth="1"/>
    <col min="3077" max="3077" width="9.7109375" style="11" bestFit="1" customWidth="1"/>
    <col min="3078" max="3078" width="8.85546875" style="11" bestFit="1" customWidth="1"/>
    <col min="3079" max="3327" width="9.140625" style="11"/>
    <col min="3328" max="3328" width="44.5703125" style="11" bestFit="1" customWidth="1"/>
    <col min="3329" max="3330" width="15.42578125" style="11" bestFit="1" customWidth="1"/>
    <col min="3331" max="3332" width="15.5703125" style="11" bestFit="1" customWidth="1"/>
    <col min="3333" max="3333" width="9.7109375" style="11" bestFit="1" customWidth="1"/>
    <col min="3334" max="3334" width="8.85546875" style="11" bestFit="1" customWidth="1"/>
    <col min="3335" max="3583" width="9.140625" style="11"/>
    <col min="3584" max="3584" width="44.5703125" style="11" bestFit="1" customWidth="1"/>
    <col min="3585" max="3586" width="15.42578125" style="11" bestFit="1" customWidth="1"/>
    <col min="3587" max="3588" width="15.5703125" style="11" bestFit="1" customWidth="1"/>
    <col min="3589" max="3589" width="9.7109375" style="11" bestFit="1" customWidth="1"/>
    <col min="3590" max="3590" width="8.85546875" style="11" bestFit="1" customWidth="1"/>
    <col min="3591" max="3839" width="9.140625" style="11"/>
    <col min="3840" max="3840" width="44.5703125" style="11" bestFit="1" customWidth="1"/>
    <col min="3841" max="3842" width="15.42578125" style="11" bestFit="1" customWidth="1"/>
    <col min="3843" max="3844" width="15.5703125" style="11" bestFit="1" customWidth="1"/>
    <col min="3845" max="3845" width="9.7109375" style="11" bestFit="1" customWidth="1"/>
    <col min="3846" max="3846" width="8.85546875" style="11" bestFit="1" customWidth="1"/>
    <col min="3847" max="4095" width="9.140625" style="11"/>
    <col min="4096" max="4096" width="44.5703125" style="11" bestFit="1" customWidth="1"/>
    <col min="4097" max="4098" width="15.42578125" style="11" bestFit="1" customWidth="1"/>
    <col min="4099" max="4100" width="15.5703125" style="11" bestFit="1" customWidth="1"/>
    <col min="4101" max="4101" width="9.7109375" style="11" bestFit="1" customWidth="1"/>
    <col min="4102" max="4102" width="8.85546875" style="11" bestFit="1" customWidth="1"/>
    <col min="4103" max="4351" width="9.140625" style="11"/>
    <col min="4352" max="4352" width="44.5703125" style="11" bestFit="1" customWidth="1"/>
    <col min="4353" max="4354" width="15.42578125" style="11" bestFit="1" customWidth="1"/>
    <col min="4355" max="4356" width="15.5703125" style="11" bestFit="1" customWidth="1"/>
    <col min="4357" max="4357" width="9.7109375" style="11" bestFit="1" customWidth="1"/>
    <col min="4358" max="4358" width="8.85546875" style="11" bestFit="1" customWidth="1"/>
    <col min="4359" max="4607" width="9.140625" style="11"/>
    <col min="4608" max="4608" width="44.5703125" style="11" bestFit="1" customWidth="1"/>
    <col min="4609" max="4610" width="15.42578125" style="11" bestFit="1" customWidth="1"/>
    <col min="4611" max="4612" width="15.5703125" style="11" bestFit="1" customWidth="1"/>
    <col min="4613" max="4613" width="9.7109375" style="11" bestFit="1" customWidth="1"/>
    <col min="4614" max="4614" width="8.85546875" style="11" bestFit="1" customWidth="1"/>
    <col min="4615" max="4863" width="9.140625" style="11"/>
    <col min="4864" max="4864" width="44.5703125" style="11" bestFit="1" customWidth="1"/>
    <col min="4865" max="4866" width="15.42578125" style="11" bestFit="1" customWidth="1"/>
    <col min="4867" max="4868" width="15.5703125" style="11" bestFit="1" customWidth="1"/>
    <col min="4869" max="4869" width="9.7109375" style="11" bestFit="1" customWidth="1"/>
    <col min="4870" max="4870" width="8.85546875" style="11" bestFit="1" customWidth="1"/>
    <col min="4871" max="5119" width="9.140625" style="11"/>
    <col min="5120" max="5120" width="44.5703125" style="11" bestFit="1" customWidth="1"/>
    <col min="5121" max="5122" width="15.42578125" style="11" bestFit="1" customWidth="1"/>
    <col min="5123" max="5124" width="15.5703125" style="11" bestFit="1" customWidth="1"/>
    <col min="5125" max="5125" width="9.7109375" style="11" bestFit="1" customWidth="1"/>
    <col min="5126" max="5126" width="8.85546875" style="11" bestFit="1" customWidth="1"/>
    <col min="5127" max="5375" width="9.140625" style="11"/>
    <col min="5376" max="5376" width="44.5703125" style="11" bestFit="1" customWidth="1"/>
    <col min="5377" max="5378" width="15.42578125" style="11" bestFit="1" customWidth="1"/>
    <col min="5379" max="5380" width="15.5703125" style="11" bestFit="1" customWidth="1"/>
    <col min="5381" max="5381" width="9.7109375" style="11" bestFit="1" customWidth="1"/>
    <col min="5382" max="5382" width="8.85546875" style="11" bestFit="1" customWidth="1"/>
    <col min="5383" max="5631" width="9.140625" style="11"/>
    <col min="5632" max="5632" width="44.5703125" style="11" bestFit="1" customWidth="1"/>
    <col min="5633" max="5634" width="15.42578125" style="11" bestFit="1" customWidth="1"/>
    <col min="5635" max="5636" width="15.5703125" style="11" bestFit="1" customWidth="1"/>
    <col min="5637" max="5637" width="9.7109375" style="11" bestFit="1" customWidth="1"/>
    <col min="5638" max="5638" width="8.85546875" style="11" bestFit="1" customWidth="1"/>
    <col min="5639" max="5887" width="9.140625" style="11"/>
    <col min="5888" max="5888" width="44.5703125" style="11" bestFit="1" customWidth="1"/>
    <col min="5889" max="5890" width="15.42578125" style="11" bestFit="1" customWidth="1"/>
    <col min="5891" max="5892" width="15.5703125" style="11" bestFit="1" customWidth="1"/>
    <col min="5893" max="5893" width="9.7109375" style="11" bestFit="1" customWidth="1"/>
    <col min="5894" max="5894" width="8.85546875" style="11" bestFit="1" customWidth="1"/>
    <col min="5895" max="6143" width="9.140625" style="11"/>
    <col min="6144" max="6144" width="44.5703125" style="11" bestFit="1" customWidth="1"/>
    <col min="6145" max="6146" width="15.42578125" style="11" bestFit="1" customWidth="1"/>
    <col min="6147" max="6148" width="15.5703125" style="11" bestFit="1" customWidth="1"/>
    <col min="6149" max="6149" width="9.7109375" style="11" bestFit="1" customWidth="1"/>
    <col min="6150" max="6150" width="8.85546875" style="11" bestFit="1" customWidth="1"/>
    <col min="6151" max="6399" width="9.140625" style="11"/>
    <col min="6400" max="6400" width="44.5703125" style="11" bestFit="1" customWidth="1"/>
    <col min="6401" max="6402" width="15.42578125" style="11" bestFit="1" customWidth="1"/>
    <col min="6403" max="6404" width="15.5703125" style="11" bestFit="1" customWidth="1"/>
    <col min="6405" max="6405" width="9.7109375" style="11" bestFit="1" customWidth="1"/>
    <col min="6406" max="6406" width="8.85546875" style="11" bestFit="1" customWidth="1"/>
    <col min="6407" max="6655" width="9.140625" style="11"/>
    <col min="6656" max="6656" width="44.5703125" style="11" bestFit="1" customWidth="1"/>
    <col min="6657" max="6658" width="15.42578125" style="11" bestFit="1" customWidth="1"/>
    <col min="6659" max="6660" width="15.5703125" style="11" bestFit="1" customWidth="1"/>
    <col min="6661" max="6661" width="9.7109375" style="11" bestFit="1" customWidth="1"/>
    <col min="6662" max="6662" width="8.85546875" style="11" bestFit="1" customWidth="1"/>
    <col min="6663" max="6911" width="9.140625" style="11"/>
    <col min="6912" max="6912" width="44.5703125" style="11" bestFit="1" customWidth="1"/>
    <col min="6913" max="6914" width="15.42578125" style="11" bestFit="1" customWidth="1"/>
    <col min="6915" max="6916" width="15.5703125" style="11" bestFit="1" customWidth="1"/>
    <col min="6917" max="6917" width="9.7109375" style="11" bestFit="1" customWidth="1"/>
    <col min="6918" max="6918" width="8.85546875" style="11" bestFit="1" customWidth="1"/>
    <col min="6919" max="7167" width="9.140625" style="11"/>
    <col min="7168" max="7168" width="44.5703125" style="11" bestFit="1" customWidth="1"/>
    <col min="7169" max="7170" width="15.42578125" style="11" bestFit="1" customWidth="1"/>
    <col min="7171" max="7172" width="15.5703125" style="11" bestFit="1" customWidth="1"/>
    <col min="7173" max="7173" width="9.7109375" style="11" bestFit="1" customWidth="1"/>
    <col min="7174" max="7174" width="8.85546875" style="11" bestFit="1" customWidth="1"/>
    <col min="7175" max="7423" width="9.140625" style="11"/>
    <col min="7424" max="7424" width="44.5703125" style="11" bestFit="1" customWidth="1"/>
    <col min="7425" max="7426" width="15.42578125" style="11" bestFit="1" customWidth="1"/>
    <col min="7427" max="7428" width="15.5703125" style="11" bestFit="1" customWidth="1"/>
    <col min="7429" max="7429" width="9.7109375" style="11" bestFit="1" customWidth="1"/>
    <col min="7430" max="7430" width="8.85546875" style="11" bestFit="1" customWidth="1"/>
    <col min="7431" max="7679" width="9.140625" style="11"/>
    <col min="7680" max="7680" width="44.5703125" style="11" bestFit="1" customWidth="1"/>
    <col min="7681" max="7682" width="15.42578125" style="11" bestFit="1" customWidth="1"/>
    <col min="7683" max="7684" width="15.5703125" style="11" bestFit="1" customWidth="1"/>
    <col min="7685" max="7685" width="9.7109375" style="11" bestFit="1" customWidth="1"/>
    <col min="7686" max="7686" width="8.85546875" style="11" bestFit="1" customWidth="1"/>
    <col min="7687" max="7935" width="9.140625" style="11"/>
    <col min="7936" max="7936" width="44.5703125" style="11" bestFit="1" customWidth="1"/>
    <col min="7937" max="7938" width="15.42578125" style="11" bestFit="1" customWidth="1"/>
    <col min="7939" max="7940" width="15.5703125" style="11" bestFit="1" customWidth="1"/>
    <col min="7941" max="7941" width="9.7109375" style="11" bestFit="1" customWidth="1"/>
    <col min="7942" max="7942" width="8.85546875" style="11" bestFit="1" customWidth="1"/>
    <col min="7943" max="8191" width="9.140625" style="11"/>
    <col min="8192" max="8192" width="44.5703125" style="11" bestFit="1" customWidth="1"/>
    <col min="8193" max="8194" width="15.42578125" style="11" bestFit="1" customWidth="1"/>
    <col min="8195" max="8196" width="15.5703125" style="11" bestFit="1" customWidth="1"/>
    <col min="8197" max="8197" width="9.7109375" style="11" bestFit="1" customWidth="1"/>
    <col min="8198" max="8198" width="8.85546875" style="11" bestFit="1" customWidth="1"/>
    <col min="8199" max="8447" width="9.140625" style="11"/>
    <col min="8448" max="8448" width="44.5703125" style="11" bestFit="1" customWidth="1"/>
    <col min="8449" max="8450" width="15.42578125" style="11" bestFit="1" customWidth="1"/>
    <col min="8451" max="8452" width="15.5703125" style="11" bestFit="1" customWidth="1"/>
    <col min="8453" max="8453" width="9.7109375" style="11" bestFit="1" customWidth="1"/>
    <col min="8454" max="8454" width="8.85546875" style="11" bestFit="1" customWidth="1"/>
    <col min="8455" max="8703" width="9.140625" style="11"/>
    <col min="8704" max="8704" width="44.5703125" style="11" bestFit="1" customWidth="1"/>
    <col min="8705" max="8706" width="15.42578125" style="11" bestFit="1" customWidth="1"/>
    <col min="8707" max="8708" width="15.5703125" style="11" bestFit="1" customWidth="1"/>
    <col min="8709" max="8709" width="9.7109375" style="11" bestFit="1" customWidth="1"/>
    <col min="8710" max="8710" width="8.85546875" style="11" bestFit="1" customWidth="1"/>
    <col min="8711" max="8959" width="9.140625" style="11"/>
    <col min="8960" max="8960" width="44.5703125" style="11" bestFit="1" customWidth="1"/>
    <col min="8961" max="8962" width="15.42578125" style="11" bestFit="1" customWidth="1"/>
    <col min="8963" max="8964" width="15.5703125" style="11" bestFit="1" customWidth="1"/>
    <col min="8965" max="8965" width="9.7109375" style="11" bestFit="1" customWidth="1"/>
    <col min="8966" max="8966" width="8.85546875" style="11" bestFit="1" customWidth="1"/>
    <col min="8967" max="9215" width="9.140625" style="11"/>
    <col min="9216" max="9216" width="44.5703125" style="11" bestFit="1" customWidth="1"/>
    <col min="9217" max="9218" width="15.42578125" style="11" bestFit="1" customWidth="1"/>
    <col min="9219" max="9220" width="15.5703125" style="11" bestFit="1" customWidth="1"/>
    <col min="9221" max="9221" width="9.7109375" style="11" bestFit="1" customWidth="1"/>
    <col min="9222" max="9222" width="8.85546875" style="11" bestFit="1" customWidth="1"/>
    <col min="9223" max="9471" width="9.140625" style="11"/>
    <col min="9472" max="9472" width="44.5703125" style="11" bestFit="1" customWidth="1"/>
    <col min="9473" max="9474" width="15.42578125" style="11" bestFit="1" customWidth="1"/>
    <col min="9475" max="9476" width="15.5703125" style="11" bestFit="1" customWidth="1"/>
    <col min="9477" max="9477" width="9.7109375" style="11" bestFit="1" customWidth="1"/>
    <col min="9478" max="9478" width="8.85546875" style="11" bestFit="1" customWidth="1"/>
    <col min="9479" max="9727" width="9.140625" style="11"/>
    <col min="9728" max="9728" width="44.5703125" style="11" bestFit="1" customWidth="1"/>
    <col min="9729" max="9730" width="15.42578125" style="11" bestFit="1" customWidth="1"/>
    <col min="9731" max="9732" width="15.5703125" style="11" bestFit="1" customWidth="1"/>
    <col min="9733" max="9733" width="9.7109375" style="11" bestFit="1" customWidth="1"/>
    <col min="9734" max="9734" width="8.85546875" style="11" bestFit="1" customWidth="1"/>
    <col min="9735" max="9983" width="9.140625" style="11"/>
    <col min="9984" max="9984" width="44.5703125" style="11" bestFit="1" customWidth="1"/>
    <col min="9985" max="9986" width="15.42578125" style="11" bestFit="1" customWidth="1"/>
    <col min="9987" max="9988" width="15.5703125" style="11" bestFit="1" customWidth="1"/>
    <col min="9989" max="9989" width="9.7109375" style="11" bestFit="1" customWidth="1"/>
    <col min="9990" max="9990" width="8.85546875" style="11" bestFit="1" customWidth="1"/>
    <col min="9991" max="10239" width="9.140625" style="11"/>
    <col min="10240" max="10240" width="44.5703125" style="11" bestFit="1" customWidth="1"/>
    <col min="10241" max="10242" width="15.42578125" style="11" bestFit="1" customWidth="1"/>
    <col min="10243" max="10244" width="15.5703125" style="11" bestFit="1" customWidth="1"/>
    <col min="10245" max="10245" width="9.7109375" style="11" bestFit="1" customWidth="1"/>
    <col min="10246" max="10246" width="8.85546875" style="11" bestFit="1" customWidth="1"/>
    <col min="10247" max="10495" width="9.140625" style="11"/>
    <col min="10496" max="10496" width="44.5703125" style="11" bestFit="1" customWidth="1"/>
    <col min="10497" max="10498" width="15.42578125" style="11" bestFit="1" customWidth="1"/>
    <col min="10499" max="10500" width="15.5703125" style="11" bestFit="1" customWidth="1"/>
    <col min="10501" max="10501" width="9.7109375" style="11" bestFit="1" customWidth="1"/>
    <col min="10502" max="10502" width="8.85546875" style="11" bestFit="1" customWidth="1"/>
    <col min="10503" max="10751" width="9.140625" style="11"/>
    <col min="10752" max="10752" width="44.5703125" style="11" bestFit="1" customWidth="1"/>
    <col min="10753" max="10754" width="15.42578125" style="11" bestFit="1" customWidth="1"/>
    <col min="10755" max="10756" width="15.5703125" style="11" bestFit="1" customWidth="1"/>
    <col min="10757" max="10757" width="9.7109375" style="11" bestFit="1" customWidth="1"/>
    <col min="10758" max="10758" width="8.85546875" style="11" bestFit="1" customWidth="1"/>
    <col min="10759" max="11007" width="9.140625" style="11"/>
    <col min="11008" max="11008" width="44.5703125" style="11" bestFit="1" customWidth="1"/>
    <col min="11009" max="11010" width="15.42578125" style="11" bestFit="1" customWidth="1"/>
    <col min="11011" max="11012" width="15.5703125" style="11" bestFit="1" customWidth="1"/>
    <col min="11013" max="11013" width="9.7109375" style="11" bestFit="1" customWidth="1"/>
    <col min="11014" max="11014" width="8.85546875" style="11" bestFit="1" customWidth="1"/>
    <col min="11015" max="11263" width="9.140625" style="11"/>
    <col min="11264" max="11264" width="44.5703125" style="11" bestFit="1" customWidth="1"/>
    <col min="11265" max="11266" width="15.42578125" style="11" bestFit="1" customWidth="1"/>
    <col min="11267" max="11268" width="15.5703125" style="11" bestFit="1" customWidth="1"/>
    <col min="11269" max="11269" width="9.7109375" style="11" bestFit="1" customWidth="1"/>
    <col min="11270" max="11270" width="8.85546875" style="11" bestFit="1" customWidth="1"/>
    <col min="11271" max="11519" width="9.140625" style="11"/>
    <col min="11520" max="11520" width="44.5703125" style="11" bestFit="1" customWidth="1"/>
    <col min="11521" max="11522" width="15.42578125" style="11" bestFit="1" customWidth="1"/>
    <col min="11523" max="11524" width="15.5703125" style="11" bestFit="1" customWidth="1"/>
    <col min="11525" max="11525" width="9.7109375" style="11" bestFit="1" customWidth="1"/>
    <col min="11526" max="11526" width="8.85546875" style="11" bestFit="1" customWidth="1"/>
    <col min="11527" max="11775" width="9.140625" style="11"/>
    <col min="11776" max="11776" width="44.5703125" style="11" bestFit="1" customWidth="1"/>
    <col min="11777" max="11778" width="15.42578125" style="11" bestFit="1" customWidth="1"/>
    <col min="11779" max="11780" width="15.5703125" style="11" bestFit="1" customWidth="1"/>
    <col min="11781" max="11781" width="9.7109375" style="11" bestFit="1" customWidth="1"/>
    <col min="11782" max="11782" width="8.85546875" style="11" bestFit="1" customWidth="1"/>
    <col min="11783" max="12031" width="9.140625" style="11"/>
    <col min="12032" max="12032" width="44.5703125" style="11" bestFit="1" customWidth="1"/>
    <col min="12033" max="12034" width="15.42578125" style="11" bestFit="1" customWidth="1"/>
    <col min="12035" max="12036" width="15.5703125" style="11" bestFit="1" customWidth="1"/>
    <col min="12037" max="12037" width="9.7109375" style="11" bestFit="1" customWidth="1"/>
    <col min="12038" max="12038" width="8.85546875" style="11" bestFit="1" customWidth="1"/>
    <col min="12039" max="12287" width="9.140625" style="11"/>
    <col min="12288" max="12288" width="44.5703125" style="11" bestFit="1" customWidth="1"/>
    <col min="12289" max="12290" width="15.42578125" style="11" bestFit="1" customWidth="1"/>
    <col min="12291" max="12292" width="15.5703125" style="11" bestFit="1" customWidth="1"/>
    <col min="12293" max="12293" width="9.7109375" style="11" bestFit="1" customWidth="1"/>
    <col min="12294" max="12294" width="8.85546875" style="11" bestFit="1" customWidth="1"/>
    <col min="12295" max="12543" width="9.140625" style="11"/>
    <col min="12544" max="12544" width="44.5703125" style="11" bestFit="1" customWidth="1"/>
    <col min="12545" max="12546" width="15.42578125" style="11" bestFit="1" customWidth="1"/>
    <col min="12547" max="12548" width="15.5703125" style="11" bestFit="1" customWidth="1"/>
    <col min="12549" max="12549" width="9.7109375" style="11" bestFit="1" customWidth="1"/>
    <col min="12550" max="12550" width="8.85546875" style="11" bestFit="1" customWidth="1"/>
    <col min="12551" max="12799" width="9.140625" style="11"/>
    <col min="12800" max="12800" width="44.5703125" style="11" bestFit="1" customWidth="1"/>
    <col min="12801" max="12802" width="15.42578125" style="11" bestFit="1" customWidth="1"/>
    <col min="12803" max="12804" width="15.5703125" style="11" bestFit="1" customWidth="1"/>
    <col min="12805" max="12805" width="9.7109375" style="11" bestFit="1" customWidth="1"/>
    <col min="12806" max="12806" width="8.85546875" style="11" bestFit="1" customWidth="1"/>
    <col min="12807" max="13055" width="9.140625" style="11"/>
    <col min="13056" max="13056" width="44.5703125" style="11" bestFit="1" customWidth="1"/>
    <col min="13057" max="13058" width="15.42578125" style="11" bestFit="1" customWidth="1"/>
    <col min="13059" max="13060" width="15.5703125" style="11" bestFit="1" customWidth="1"/>
    <col min="13061" max="13061" width="9.7109375" style="11" bestFit="1" customWidth="1"/>
    <col min="13062" max="13062" width="8.85546875" style="11" bestFit="1" customWidth="1"/>
    <col min="13063" max="13311" width="9.140625" style="11"/>
    <col min="13312" max="13312" width="44.5703125" style="11" bestFit="1" customWidth="1"/>
    <col min="13313" max="13314" width="15.42578125" style="11" bestFit="1" customWidth="1"/>
    <col min="13315" max="13316" width="15.5703125" style="11" bestFit="1" customWidth="1"/>
    <col min="13317" max="13317" width="9.7109375" style="11" bestFit="1" customWidth="1"/>
    <col min="13318" max="13318" width="8.85546875" style="11" bestFit="1" customWidth="1"/>
    <col min="13319" max="13567" width="9.140625" style="11"/>
    <col min="13568" max="13568" width="44.5703125" style="11" bestFit="1" customWidth="1"/>
    <col min="13569" max="13570" width="15.42578125" style="11" bestFit="1" customWidth="1"/>
    <col min="13571" max="13572" width="15.5703125" style="11" bestFit="1" customWidth="1"/>
    <col min="13573" max="13573" width="9.7109375" style="11" bestFit="1" customWidth="1"/>
    <col min="13574" max="13574" width="8.85546875" style="11" bestFit="1" customWidth="1"/>
    <col min="13575" max="13823" width="9.140625" style="11"/>
    <col min="13824" max="13824" width="44.5703125" style="11" bestFit="1" customWidth="1"/>
    <col min="13825" max="13826" width="15.42578125" style="11" bestFit="1" customWidth="1"/>
    <col min="13827" max="13828" width="15.5703125" style="11" bestFit="1" customWidth="1"/>
    <col min="13829" max="13829" width="9.7109375" style="11" bestFit="1" customWidth="1"/>
    <col min="13830" max="13830" width="8.85546875" style="11" bestFit="1" customWidth="1"/>
    <col min="13831" max="14079" width="9.140625" style="11"/>
    <col min="14080" max="14080" width="44.5703125" style="11" bestFit="1" customWidth="1"/>
    <col min="14081" max="14082" width="15.42578125" style="11" bestFit="1" customWidth="1"/>
    <col min="14083" max="14084" width="15.5703125" style="11" bestFit="1" customWidth="1"/>
    <col min="14085" max="14085" width="9.7109375" style="11" bestFit="1" customWidth="1"/>
    <col min="14086" max="14086" width="8.85546875" style="11" bestFit="1" customWidth="1"/>
    <col min="14087" max="14335" width="9.140625" style="11"/>
    <col min="14336" max="14336" width="44.5703125" style="11" bestFit="1" customWidth="1"/>
    <col min="14337" max="14338" width="15.42578125" style="11" bestFit="1" customWidth="1"/>
    <col min="14339" max="14340" width="15.5703125" style="11" bestFit="1" customWidth="1"/>
    <col min="14341" max="14341" width="9.7109375" style="11" bestFit="1" customWidth="1"/>
    <col min="14342" max="14342" width="8.85546875" style="11" bestFit="1" customWidth="1"/>
    <col min="14343" max="14591" width="9.140625" style="11"/>
    <col min="14592" max="14592" width="44.5703125" style="11" bestFit="1" customWidth="1"/>
    <col min="14593" max="14594" width="15.42578125" style="11" bestFit="1" customWidth="1"/>
    <col min="14595" max="14596" width="15.5703125" style="11" bestFit="1" customWidth="1"/>
    <col min="14597" max="14597" width="9.7109375" style="11" bestFit="1" customWidth="1"/>
    <col min="14598" max="14598" width="8.85546875" style="11" bestFit="1" customWidth="1"/>
    <col min="14599" max="14847" width="9.140625" style="11"/>
    <col min="14848" max="14848" width="44.5703125" style="11" bestFit="1" customWidth="1"/>
    <col min="14849" max="14850" width="15.42578125" style="11" bestFit="1" customWidth="1"/>
    <col min="14851" max="14852" width="15.5703125" style="11" bestFit="1" customWidth="1"/>
    <col min="14853" max="14853" width="9.7109375" style="11" bestFit="1" customWidth="1"/>
    <col min="14854" max="14854" width="8.85546875" style="11" bestFit="1" customWidth="1"/>
    <col min="14855" max="15103" width="9.140625" style="11"/>
    <col min="15104" max="15104" width="44.5703125" style="11" bestFit="1" customWidth="1"/>
    <col min="15105" max="15106" width="15.42578125" style="11" bestFit="1" customWidth="1"/>
    <col min="15107" max="15108" width="15.5703125" style="11" bestFit="1" customWidth="1"/>
    <col min="15109" max="15109" width="9.7109375" style="11" bestFit="1" customWidth="1"/>
    <col min="15110" max="15110" width="8.85546875" style="11" bestFit="1" customWidth="1"/>
    <col min="15111" max="15359" width="9.140625" style="11"/>
    <col min="15360" max="15360" width="44.5703125" style="11" bestFit="1" customWidth="1"/>
    <col min="15361" max="15362" width="15.42578125" style="11" bestFit="1" customWidth="1"/>
    <col min="15363" max="15364" width="15.5703125" style="11" bestFit="1" customWidth="1"/>
    <col min="15365" max="15365" width="9.7109375" style="11" bestFit="1" customWidth="1"/>
    <col min="15366" max="15366" width="8.85546875" style="11" bestFit="1" customWidth="1"/>
    <col min="15367" max="15615" width="9.140625" style="11"/>
    <col min="15616" max="15616" width="44.5703125" style="11" bestFit="1" customWidth="1"/>
    <col min="15617" max="15618" width="15.42578125" style="11" bestFit="1" customWidth="1"/>
    <col min="15619" max="15620" width="15.5703125" style="11" bestFit="1" customWidth="1"/>
    <col min="15621" max="15621" width="9.7109375" style="11" bestFit="1" customWidth="1"/>
    <col min="15622" max="15622" width="8.85546875" style="11" bestFit="1" customWidth="1"/>
    <col min="15623" max="15871" width="9.140625" style="11"/>
    <col min="15872" max="15872" width="44.5703125" style="11" bestFit="1" customWidth="1"/>
    <col min="15873" max="15874" width="15.42578125" style="11" bestFit="1" customWidth="1"/>
    <col min="15875" max="15876" width="15.5703125" style="11" bestFit="1" customWidth="1"/>
    <col min="15877" max="15877" width="9.7109375" style="11" bestFit="1" customWidth="1"/>
    <col min="15878" max="15878" width="8.85546875" style="11" bestFit="1" customWidth="1"/>
    <col min="15879" max="16127" width="9.140625" style="11"/>
    <col min="16128" max="16128" width="44.5703125" style="11" bestFit="1" customWidth="1"/>
    <col min="16129" max="16130" width="15.42578125" style="11" bestFit="1" customWidth="1"/>
    <col min="16131" max="16132" width="15.5703125" style="11" bestFit="1" customWidth="1"/>
    <col min="16133" max="16133" width="9.7109375" style="11" bestFit="1" customWidth="1"/>
    <col min="16134" max="16134" width="8.85546875" style="11" bestFit="1" customWidth="1"/>
    <col min="16135" max="16384" width="9.140625" style="11"/>
  </cols>
  <sheetData>
    <row r="1" spans="2:8" ht="16.5" thickBot="1" x14ac:dyDescent="0.3">
      <c r="B1" s="9" t="s">
        <v>49</v>
      </c>
      <c r="C1" s="10"/>
      <c r="D1" s="10"/>
      <c r="F1" s="9" t="s">
        <v>49</v>
      </c>
      <c r="G1" s="10"/>
      <c r="H1" s="10"/>
    </row>
    <row r="2" spans="2:8" s="15" customFormat="1" ht="13.5" thickTop="1" x14ac:dyDescent="0.2">
      <c r="B2" s="12"/>
      <c r="C2" s="13">
        <v>2017</v>
      </c>
      <c r="D2" s="13">
        <v>2016</v>
      </c>
      <c r="F2" s="12"/>
      <c r="G2" s="13">
        <v>2017</v>
      </c>
      <c r="H2" s="13">
        <v>2016</v>
      </c>
    </row>
    <row r="3" spans="2:8" x14ac:dyDescent="0.2">
      <c r="B3" s="16" t="s">
        <v>197</v>
      </c>
      <c r="C3" s="17">
        <f>+Balanço!C4+Balanço!C5+Balanço!C7</f>
        <v>12188691.880000001</v>
      </c>
      <c r="D3" s="17">
        <f>+Balanço!F4+Balanço!F5+Balanço!F7</f>
        <v>11388657.91</v>
      </c>
      <c r="F3" s="16" t="s">
        <v>197</v>
      </c>
      <c r="G3" s="61">
        <f>C3/C$24</f>
        <v>0.43858638119511195</v>
      </c>
      <c r="H3" s="61">
        <f>D3/D$24</f>
        <v>0.68021037541005325</v>
      </c>
    </row>
    <row r="4" spans="2:8" x14ac:dyDescent="0.2">
      <c r="B4" s="16" t="s">
        <v>196</v>
      </c>
      <c r="C4" s="17">
        <f>Balanço!C6</f>
        <v>232.44</v>
      </c>
      <c r="D4" s="17">
        <f>Balanço!F6</f>
        <v>884.64</v>
      </c>
      <c r="F4" s="16" t="s">
        <v>196</v>
      </c>
      <c r="G4" s="61">
        <f>C4/C$24</f>
        <v>8.3639015120457542E-6</v>
      </c>
      <c r="H4" s="61">
        <f t="shared" ref="H4:H24" si="0">D4/D$24</f>
        <v>5.2836893623293453E-5</v>
      </c>
    </row>
    <row r="5" spans="2:8" x14ac:dyDescent="0.2">
      <c r="B5" s="19" t="s">
        <v>188</v>
      </c>
      <c r="C5" s="20">
        <f>+SUM(C3:C4)</f>
        <v>12188924.32</v>
      </c>
      <c r="D5" s="20">
        <f>+SUM(D3:D4)</f>
        <v>11389542.550000001</v>
      </c>
      <c r="F5" s="19" t="s">
        <v>188</v>
      </c>
      <c r="G5" s="62">
        <f>C5/C$24</f>
        <v>0.43859474509662399</v>
      </c>
      <c r="H5" s="62">
        <f t="shared" si="0"/>
        <v>0.68026321230367659</v>
      </c>
    </row>
    <row r="6" spans="2:8" x14ac:dyDescent="0.2">
      <c r="B6" s="16"/>
      <c r="C6" s="17"/>
      <c r="D6" s="17"/>
      <c r="F6" s="16"/>
      <c r="G6" s="17"/>
      <c r="H6" s="61"/>
    </row>
    <row r="7" spans="2:8" x14ac:dyDescent="0.2">
      <c r="B7" s="16" t="s">
        <v>75</v>
      </c>
      <c r="C7" s="17">
        <f>Balanço!C12</f>
        <v>8132913.0199999996</v>
      </c>
      <c r="D7" s="17">
        <f>Balanço!F12</f>
        <v>2106889.9</v>
      </c>
      <c r="F7" s="16" t="s">
        <v>75</v>
      </c>
      <c r="G7" s="61">
        <f>C7/C$24</f>
        <v>0.29264706378125366</v>
      </c>
      <c r="H7" s="61">
        <f>D7/D$24</f>
        <v>0.12583821387489982</v>
      </c>
    </row>
    <row r="8" spans="2:8" x14ac:dyDescent="0.2">
      <c r="B8" s="16" t="s">
        <v>76</v>
      </c>
      <c r="C8" s="17">
        <f>Balanço!C13</f>
        <v>3812140.1</v>
      </c>
      <c r="D8" s="17">
        <f>Balanço!F13</f>
        <v>1667750.51</v>
      </c>
      <c r="F8" s="16" t="s">
        <v>76</v>
      </c>
      <c r="G8" s="61">
        <f>C8/C$24</f>
        <v>0.13717245029478686</v>
      </c>
      <c r="H8" s="61">
        <f>D8/D$24</f>
        <v>9.9609735357957363E-2</v>
      </c>
    </row>
    <row r="9" spans="2:8" x14ac:dyDescent="0.2">
      <c r="B9" s="16" t="s">
        <v>50</v>
      </c>
      <c r="C9" s="17">
        <v>0</v>
      </c>
      <c r="D9" s="17">
        <v>0</v>
      </c>
      <c r="F9" s="16" t="s">
        <v>50</v>
      </c>
      <c r="G9" s="61">
        <f>C9/C$24</f>
        <v>0</v>
      </c>
      <c r="H9" s="61">
        <f t="shared" si="0"/>
        <v>0</v>
      </c>
    </row>
    <row r="10" spans="2:8" x14ac:dyDescent="0.2">
      <c r="B10" s="16" t="s">
        <v>51</v>
      </c>
      <c r="C10" s="17">
        <v>318344.14</v>
      </c>
      <c r="D10" s="17">
        <v>283270.90000000002</v>
      </c>
      <c r="F10" s="16" t="s">
        <v>51</v>
      </c>
      <c r="G10" s="61">
        <f>C10/C$24</f>
        <v>1.1454994983208164E-2</v>
      </c>
      <c r="H10" s="61">
        <f t="shared" si="0"/>
        <v>1.6918921154226125E-2</v>
      </c>
    </row>
    <row r="11" spans="2:8" x14ac:dyDescent="0.2">
      <c r="B11" s="16" t="s">
        <v>52</v>
      </c>
      <c r="C11" s="17">
        <v>5633.12</v>
      </c>
      <c r="D11" s="17">
        <v>392445.95</v>
      </c>
      <c r="F11" s="16" t="s">
        <v>52</v>
      </c>
      <c r="G11" s="61">
        <f>C11/C$24</f>
        <v>2.0269687181868518E-4</v>
      </c>
      <c r="H11" s="61">
        <f t="shared" si="0"/>
        <v>2.3439619407942598E-2</v>
      </c>
    </row>
    <row r="12" spans="2:8" x14ac:dyDescent="0.2">
      <c r="B12" s="16" t="s">
        <v>193</v>
      </c>
      <c r="C12" s="17">
        <f>Balanço!C16</f>
        <v>2662403.34</v>
      </c>
      <c r="D12" s="17">
        <f>Balanço!F16</f>
        <v>498151.93</v>
      </c>
      <c r="F12" s="16" t="s">
        <v>193</v>
      </c>
      <c r="G12" s="61">
        <f>C12/C$24</f>
        <v>9.5801408196100793E-2</v>
      </c>
      <c r="H12" s="61">
        <f t="shared" si="0"/>
        <v>2.9753120516422867E-2</v>
      </c>
    </row>
    <row r="13" spans="2:8" x14ac:dyDescent="0.2">
      <c r="B13" s="19" t="s">
        <v>53</v>
      </c>
      <c r="C13" s="20">
        <f>+SUM(C7:C12)</f>
        <v>14931433.719999999</v>
      </c>
      <c r="D13" s="20">
        <f>+SUM(D7:D12)</f>
        <v>4948509.1899999995</v>
      </c>
      <c r="E13" s="22"/>
      <c r="F13" s="19" t="s">
        <v>53</v>
      </c>
      <c r="G13" s="62">
        <f>C13/C$24</f>
        <v>0.53727861412716815</v>
      </c>
      <c r="H13" s="62">
        <f t="shared" si="0"/>
        <v>0.29555961031144873</v>
      </c>
    </row>
    <row r="14" spans="2:8" x14ac:dyDescent="0.2">
      <c r="B14" s="16"/>
      <c r="C14" s="17"/>
      <c r="D14" s="17"/>
      <c r="F14" s="16"/>
      <c r="G14" s="17"/>
      <c r="H14" s="61"/>
    </row>
    <row r="15" spans="2:8" x14ac:dyDescent="0.2">
      <c r="B15" s="16" t="s">
        <v>54</v>
      </c>
      <c r="C15" s="17">
        <v>0</v>
      </c>
      <c r="D15" s="17">
        <v>0</v>
      </c>
      <c r="F15" s="16" t="s">
        <v>54</v>
      </c>
      <c r="G15" s="61">
        <f t="shared" ref="G15:G20" si="1">C15/C$24</f>
        <v>0</v>
      </c>
      <c r="H15" s="61">
        <f t="shared" si="0"/>
        <v>0</v>
      </c>
    </row>
    <row r="16" spans="2:8" x14ac:dyDescent="0.2">
      <c r="B16" s="16" t="s">
        <v>55</v>
      </c>
      <c r="C16" s="17">
        <f>Balanço!C14-C10</f>
        <v>413782.44999999995</v>
      </c>
      <c r="D16" s="17">
        <f>Balanço!F14-D10</f>
        <v>245997.82999999996</v>
      </c>
      <c r="F16" s="16" t="s">
        <v>55</v>
      </c>
      <c r="G16" s="61">
        <f t="shared" si="1"/>
        <v>1.488915702638529E-2</v>
      </c>
      <c r="H16" s="61">
        <f t="shared" si="0"/>
        <v>1.469271248787193E-2</v>
      </c>
    </row>
    <row r="17" spans="2:8" x14ac:dyDescent="0.2">
      <c r="B17" s="16" t="s">
        <v>56</v>
      </c>
      <c r="C17" s="17">
        <f>+Balanço!C15-'Bal Funcional Equi'!C11</f>
        <v>0</v>
      </c>
      <c r="D17" s="17">
        <f>+Balanço!F15-'Bal Funcional Equi'!D11</f>
        <v>0</v>
      </c>
      <c r="F17" s="16" t="s">
        <v>56</v>
      </c>
      <c r="G17" s="61">
        <f t="shared" si="1"/>
        <v>0</v>
      </c>
      <c r="H17" s="61">
        <f t="shared" si="0"/>
        <v>0</v>
      </c>
    </row>
    <row r="18" spans="2:8" x14ac:dyDescent="0.2">
      <c r="B18" s="16" t="s">
        <v>199</v>
      </c>
      <c r="C18" s="17">
        <f>Balanço!C17</f>
        <v>256717.6</v>
      </c>
      <c r="D18" s="17">
        <f>Balanço!F17</f>
        <v>158796.94</v>
      </c>
      <c r="F18" s="16" t="s">
        <v>199</v>
      </c>
      <c r="G18" s="61">
        <f t="shared" si="1"/>
        <v>9.2374837498225663E-3</v>
      </c>
      <c r="H18" s="61">
        <f t="shared" si="0"/>
        <v>9.4844648970027496E-3</v>
      </c>
    </row>
    <row r="19" spans="2:8" x14ac:dyDescent="0.2">
      <c r="B19" s="16" t="s">
        <v>194</v>
      </c>
      <c r="C19" s="17">
        <v>0</v>
      </c>
      <c r="D19" s="17">
        <v>0</v>
      </c>
      <c r="F19" s="16" t="s">
        <v>194</v>
      </c>
      <c r="G19" s="61">
        <f t="shared" si="1"/>
        <v>0</v>
      </c>
      <c r="H19" s="61">
        <f t="shared" si="0"/>
        <v>0</v>
      </c>
    </row>
    <row r="20" spans="2:8" x14ac:dyDescent="0.2">
      <c r="B20" s="19" t="s">
        <v>195</v>
      </c>
      <c r="C20" s="20">
        <f>+SUM(C15:C19)</f>
        <v>670500.04999999993</v>
      </c>
      <c r="D20" s="20">
        <f>+SUM(D15:D19)</f>
        <v>404794.76999999996</v>
      </c>
      <c r="E20" s="22"/>
      <c r="F20" s="19" t="s">
        <v>195</v>
      </c>
      <c r="G20" s="62">
        <f t="shared" si="1"/>
        <v>2.4126640776207856E-2</v>
      </c>
      <c r="H20" s="62">
        <f t="shared" si="0"/>
        <v>2.4177177384874682E-2</v>
      </c>
    </row>
    <row r="21" spans="2:8" x14ac:dyDescent="0.2">
      <c r="B21" s="23"/>
      <c r="C21" s="17"/>
      <c r="D21" s="17"/>
      <c r="F21" s="23"/>
      <c r="G21" s="17"/>
      <c r="H21" s="61"/>
    </row>
    <row r="22" spans="2:8" x14ac:dyDescent="0.2">
      <c r="B22" s="19" t="s">
        <v>198</v>
      </c>
      <c r="C22" s="20">
        <f>+C13+C20</f>
        <v>15601933.77</v>
      </c>
      <c r="D22" s="20">
        <f>+D13+D20</f>
        <v>5353303.959999999</v>
      </c>
      <c r="E22" s="24"/>
      <c r="F22" s="19" t="s">
        <v>3</v>
      </c>
      <c r="G22" s="62">
        <f>C22/C$24</f>
        <v>0.56140525490337601</v>
      </c>
      <c r="H22" s="62">
        <f t="shared" si="0"/>
        <v>0.31973678769632341</v>
      </c>
    </row>
    <row r="23" spans="2:8" x14ac:dyDescent="0.2">
      <c r="B23" s="23"/>
      <c r="C23" s="17"/>
      <c r="D23" s="17"/>
      <c r="F23" s="23"/>
      <c r="G23" s="17"/>
      <c r="H23" s="61"/>
    </row>
    <row r="24" spans="2:8" ht="13.5" thickBot="1" x14ac:dyDescent="0.25">
      <c r="B24" s="25" t="s">
        <v>57</v>
      </c>
      <c r="C24" s="26">
        <f>+C5+C13+C20</f>
        <v>27790858.09</v>
      </c>
      <c r="D24" s="26">
        <f>+D5+D13+D20</f>
        <v>16742846.51</v>
      </c>
      <c r="F24" s="25" t="s">
        <v>57</v>
      </c>
      <c r="G24" s="63">
        <f>C24/C$24</f>
        <v>1</v>
      </c>
      <c r="H24" s="63">
        <f t="shared" si="0"/>
        <v>1</v>
      </c>
    </row>
    <row r="25" spans="2:8" ht="14.25" thickTop="1" thickBot="1" x14ac:dyDescent="0.25">
      <c r="C25" s="28"/>
      <c r="D25" s="28"/>
      <c r="G25" s="28"/>
      <c r="H25" s="28"/>
    </row>
    <row r="26" spans="2:8" ht="13.5" thickTop="1" x14ac:dyDescent="0.2">
      <c r="B26" s="29"/>
      <c r="C26" s="13">
        <v>2017</v>
      </c>
      <c r="D26" s="13">
        <v>2016</v>
      </c>
      <c r="F26" s="29"/>
      <c r="G26" s="13">
        <v>2017</v>
      </c>
      <c r="H26" s="13">
        <v>2016</v>
      </c>
    </row>
    <row r="27" spans="2:8" x14ac:dyDescent="0.2">
      <c r="B27" s="23" t="s">
        <v>200</v>
      </c>
      <c r="C27" s="30">
        <f>Balanço!L11-Balanço!C8</f>
        <v>9874171.9100000001</v>
      </c>
      <c r="D27" s="30">
        <f>Balanço!O11-Balanço!F8</f>
        <v>7520792.2400000002</v>
      </c>
      <c r="F27" s="23" t="s">
        <v>80</v>
      </c>
      <c r="G27" s="64">
        <f>C27/C$56</f>
        <v>0.35530287974638064</v>
      </c>
      <c r="H27" s="67">
        <f>D27/D$56</f>
        <v>0.44919436103699917</v>
      </c>
    </row>
    <row r="28" spans="2:8" x14ac:dyDescent="0.2">
      <c r="B28" s="31"/>
      <c r="C28" s="17"/>
      <c r="D28" s="17"/>
      <c r="F28" s="31"/>
      <c r="G28" s="61"/>
      <c r="H28" s="68"/>
    </row>
    <row r="29" spans="2:8" x14ac:dyDescent="0.2">
      <c r="B29" s="31" t="s">
        <v>58</v>
      </c>
      <c r="C29" s="17">
        <f>Balanço!L15</f>
        <v>7573.36</v>
      </c>
      <c r="D29" s="17">
        <f>Balanço!O15</f>
        <v>207573.36</v>
      </c>
      <c r="F29" s="31" t="s">
        <v>58</v>
      </c>
      <c r="G29" s="64">
        <f t="shared" ref="G29:H34" si="2">C29/C$56</f>
        <v>2.725126361868303E-4</v>
      </c>
      <c r="H29" s="67">
        <f t="shared" si="2"/>
        <v>1.2397734153270931E-2</v>
      </c>
    </row>
    <row r="30" spans="2:8" x14ac:dyDescent="0.2">
      <c r="B30" s="31" t="s">
        <v>60</v>
      </c>
      <c r="C30" s="17">
        <f>Balanço!L17</f>
        <v>1895542.52</v>
      </c>
      <c r="D30" s="17">
        <f>Balanço!O17</f>
        <v>0</v>
      </c>
      <c r="F30" s="31" t="s">
        <v>60</v>
      </c>
      <c r="G30" s="64">
        <f t="shared" si="2"/>
        <v>6.820741244697566E-2</v>
      </c>
      <c r="H30" s="67">
        <f t="shared" si="2"/>
        <v>0</v>
      </c>
    </row>
    <row r="31" spans="2:8" x14ac:dyDescent="0.2">
      <c r="B31" s="16" t="s">
        <v>77</v>
      </c>
      <c r="C31" s="17">
        <f>Balanço!L16</f>
        <v>2943512.91</v>
      </c>
      <c r="D31" s="17">
        <f>Balanço!O16</f>
        <v>3912732.59</v>
      </c>
      <c r="F31" s="16" t="s">
        <v>77</v>
      </c>
      <c r="G31" s="64">
        <f t="shared" si="2"/>
        <v>0.1059165895658028</v>
      </c>
      <c r="H31" s="67">
        <f t="shared" si="2"/>
        <v>0.23369578092130525</v>
      </c>
    </row>
    <row r="32" spans="2:8" x14ac:dyDescent="0.2">
      <c r="B32" s="16" t="s">
        <v>79</v>
      </c>
      <c r="C32" s="17">
        <f>Balanço!L19</f>
        <v>513203.18</v>
      </c>
      <c r="D32" s="17">
        <f>Balanço!O19</f>
        <v>547959.5</v>
      </c>
      <c r="F32" s="16" t="s">
        <v>79</v>
      </c>
      <c r="G32" s="64">
        <f t="shared" si="2"/>
        <v>1.8466618711016562E-2</v>
      </c>
      <c r="H32" s="67">
        <f t="shared" si="2"/>
        <v>3.2727977269141201E-2</v>
      </c>
    </row>
    <row r="33" spans="2:8" x14ac:dyDescent="0.2">
      <c r="B33" s="31" t="s">
        <v>192</v>
      </c>
      <c r="C33" s="17">
        <f>Balanço!L18</f>
        <v>746290.57</v>
      </c>
      <c r="D33" s="17">
        <f>Balanço!O18</f>
        <v>789039</v>
      </c>
      <c r="F33" s="31" t="s">
        <v>61</v>
      </c>
      <c r="G33" s="64">
        <f t="shared" si="2"/>
        <v>2.6853815293617654E-2</v>
      </c>
      <c r="H33" s="67">
        <f t="shared" si="2"/>
        <v>4.7126932659194529E-2</v>
      </c>
    </row>
    <row r="34" spans="2:8" x14ac:dyDescent="0.2">
      <c r="B34" s="19" t="s">
        <v>62</v>
      </c>
      <c r="C34" s="20">
        <f>+SUM(C29:C33)</f>
        <v>6106122.54</v>
      </c>
      <c r="D34" s="20">
        <f>+SUM(D29:D33)</f>
        <v>5457304.4499999993</v>
      </c>
      <c r="E34" s="32"/>
      <c r="F34" s="19" t="s">
        <v>62</v>
      </c>
      <c r="G34" s="62">
        <f t="shared" si="2"/>
        <v>0.2197169486535995</v>
      </c>
      <c r="H34" s="69">
        <f t="shared" si="2"/>
        <v>0.32594842500291188</v>
      </c>
    </row>
    <row r="35" spans="2:8" x14ac:dyDescent="0.2">
      <c r="B35" s="16"/>
      <c r="C35" s="17"/>
      <c r="D35" s="17"/>
      <c r="F35" s="16"/>
      <c r="G35" s="61"/>
      <c r="H35" s="68"/>
    </row>
    <row r="36" spans="2:8" x14ac:dyDescent="0.2">
      <c r="B36" s="16" t="s">
        <v>63</v>
      </c>
      <c r="C36" s="17">
        <f>Balanço!L22</f>
        <v>3404814.37</v>
      </c>
      <c r="D36" s="17">
        <f>Balanço!O22</f>
        <v>949174.75</v>
      </c>
      <c r="F36" s="16" t="s">
        <v>63</v>
      </c>
      <c r="G36" s="64">
        <f t="shared" ref="G36:H41" si="3">C36/C$56</f>
        <v>0.1225156257850547</v>
      </c>
      <c r="H36" s="67">
        <f t="shared" si="3"/>
        <v>5.6691360661586816E-2</v>
      </c>
    </row>
    <row r="37" spans="2:8" x14ac:dyDescent="0.2">
      <c r="B37" s="16" t="s">
        <v>64</v>
      </c>
      <c r="C37" s="17">
        <f>Balanço!L23</f>
        <v>0</v>
      </c>
      <c r="D37" s="17">
        <f>Balanço!O23</f>
        <v>0</v>
      </c>
      <c r="F37" s="16" t="s">
        <v>64</v>
      </c>
      <c r="G37" s="64">
        <f t="shared" si="3"/>
        <v>0</v>
      </c>
      <c r="H37" s="67">
        <f t="shared" si="3"/>
        <v>0</v>
      </c>
    </row>
    <row r="38" spans="2:8" x14ac:dyDescent="0.2">
      <c r="B38" s="16" t="s">
        <v>65</v>
      </c>
      <c r="C38" s="17">
        <f>Balanço!L24-C48</f>
        <v>141920.33999999997</v>
      </c>
      <c r="D38" s="17">
        <f>Balanço!O24-D48</f>
        <v>118868.26</v>
      </c>
      <c r="F38" s="16" t="s">
        <v>65</v>
      </c>
      <c r="G38" s="64">
        <f t="shared" si="3"/>
        <v>5.1067275267425889E-3</v>
      </c>
      <c r="H38" s="67">
        <f t="shared" si="3"/>
        <v>7.0996446111480241E-3</v>
      </c>
    </row>
    <row r="39" spans="2:8" x14ac:dyDescent="0.2">
      <c r="B39" s="16" t="s">
        <v>66</v>
      </c>
      <c r="C39" s="17">
        <f>+Balanço!L26-'Bal Funcional Equi'!C49-C47-C50</f>
        <v>2026284.2000000002</v>
      </c>
      <c r="D39" s="17">
        <f>+Balanço!O26-'Bal Funcional Equi'!D49-D47-D50</f>
        <v>1383264.61</v>
      </c>
      <c r="F39" s="16" t="s">
        <v>66</v>
      </c>
      <c r="G39" s="64">
        <f t="shared" si="3"/>
        <v>7.2911897626116093E-2</v>
      </c>
      <c r="H39" s="67">
        <f t="shared" si="3"/>
        <v>8.2618245898259765E-2</v>
      </c>
    </row>
    <row r="40" spans="2:8" x14ac:dyDescent="0.2">
      <c r="B40" s="16" t="s">
        <v>193</v>
      </c>
      <c r="C40" s="17">
        <v>0</v>
      </c>
      <c r="D40" s="17">
        <v>0</v>
      </c>
      <c r="F40" s="16" t="s">
        <v>193</v>
      </c>
      <c r="G40" s="64">
        <f t="shared" si="3"/>
        <v>0</v>
      </c>
      <c r="H40" s="67">
        <f t="shared" si="3"/>
        <v>0</v>
      </c>
    </row>
    <row r="41" spans="2:8" s="32" customFormat="1" x14ac:dyDescent="0.2">
      <c r="B41" s="19" t="s">
        <v>67</v>
      </c>
      <c r="C41" s="20">
        <f>+SUM(C36:C40)</f>
        <v>5573018.9100000001</v>
      </c>
      <c r="D41" s="20">
        <f>+SUM(D36:D40)</f>
        <v>2451307.62</v>
      </c>
      <c r="F41" s="19" t="s">
        <v>67</v>
      </c>
      <c r="G41" s="62">
        <f t="shared" si="3"/>
        <v>0.20053425093791338</v>
      </c>
      <c r="H41" s="69">
        <f t="shared" si="3"/>
        <v>0.1464092511709946</v>
      </c>
    </row>
    <row r="42" spans="2:8" x14ac:dyDescent="0.2">
      <c r="B42" s="16"/>
      <c r="C42" s="17"/>
      <c r="D42" s="17"/>
      <c r="F42" s="16"/>
      <c r="G42" s="61"/>
      <c r="H42" s="68"/>
    </row>
    <row r="43" spans="2:8" x14ac:dyDescent="0.2">
      <c r="B43" s="31" t="s">
        <v>68</v>
      </c>
      <c r="C43" s="17">
        <v>0</v>
      </c>
      <c r="D43" s="17">
        <v>0</v>
      </c>
      <c r="F43" s="31" t="s">
        <v>68</v>
      </c>
      <c r="G43" s="64">
        <f t="shared" ref="G43:H45" si="4">C43/C$56</f>
        <v>0</v>
      </c>
      <c r="H43" s="67">
        <f t="shared" si="4"/>
        <v>0</v>
      </c>
    </row>
    <row r="44" spans="2:8" x14ac:dyDescent="0.2">
      <c r="B44" s="31" t="s">
        <v>60</v>
      </c>
      <c r="C44" s="17">
        <f>Balanço!L25</f>
        <v>3471765.68</v>
      </c>
      <c r="D44" s="17">
        <f>Balanço!O25</f>
        <v>1568.37</v>
      </c>
      <c r="F44" s="31" t="s">
        <v>60</v>
      </c>
      <c r="G44" s="64">
        <f t="shared" si="4"/>
        <v>0.12492473851497402</v>
      </c>
      <c r="H44" s="67">
        <f t="shared" si="4"/>
        <v>9.3674035598621759E-5</v>
      </c>
    </row>
    <row r="45" spans="2:8" x14ac:dyDescent="0.2">
      <c r="B45" s="31" t="s">
        <v>59</v>
      </c>
      <c r="C45" s="17">
        <v>0</v>
      </c>
      <c r="D45" s="17">
        <v>0</v>
      </c>
      <c r="F45" s="31" t="s">
        <v>59</v>
      </c>
      <c r="G45" s="64">
        <f t="shared" si="4"/>
        <v>0</v>
      </c>
      <c r="H45" s="67">
        <f t="shared" si="4"/>
        <v>0</v>
      </c>
    </row>
    <row r="46" spans="2:8" x14ac:dyDescent="0.2">
      <c r="B46" s="31" t="s">
        <v>69</v>
      </c>
      <c r="C46" s="17">
        <v>0</v>
      </c>
      <c r="D46" s="17">
        <v>0</v>
      </c>
      <c r="F46" s="31" t="s">
        <v>69</v>
      </c>
      <c r="G46" s="64">
        <f t="shared" ref="G46:G52" si="5">C46/C$56</f>
        <v>0</v>
      </c>
      <c r="H46" s="67">
        <f t="shared" ref="H46" si="6">D46/D$56</f>
        <v>0</v>
      </c>
    </row>
    <row r="47" spans="2:8" x14ac:dyDescent="0.2">
      <c r="B47" s="16" t="s">
        <v>77</v>
      </c>
      <c r="C47" s="17">
        <f>8278.82+969219.68</f>
        <v>977498.5</v>
      </c>
      <c r="D47" s="17">
        <f>8278.82+960801.59</f>
        <v>969080.40999999992</v>
      </c>
      <c r="F47" s="16" t="s">
        <v>77</v>
      </c>
      <c r="G47" s="64">
        <f t="shared" si="5"/>
        <v>3.5173383161987856E-2</v>
      </c>
      <c r="H47" s="67">
        <f t="shared" ref="H47:H52" si="7">D47/D$56</f>
        <v>5.7880266024131405E-2</v>
      </c>
    </row>
    <row r="48" spans="2:8" x14ac:dyDescent="0.2">
      <c r="B48" s="16" t="s">
        <v>70</v>
      </c>
      <c r="C48" s="17">
        <v>694377.41</v>
      </c>
      <c r="D48" s="17">
        <v>0</v>
      </c>
      <c r="F48" s="16" t="s">
        <v>70</v>
      </c>
      <c r="G48" s="64">
        <f t="shared" si="5"/>
        <v>2.4985821155693578E-2</v>
      </c>
      <c r="H48" s="67">
        <f t="shared" si="7"/>
        <v>0</v>
      </c>
    </row>
    <row r="49" spans="2:8" x14ac:dyDescent="0.2">
      <c r="B49" s="16" t="s">
        <v>78</v>
      </c>
      <c r="C49" s="17">
        <v>677112.23</v>
      </c>
      <c r="D49" s="17">
        <v>153493.67000000001</v>
      </c>
      <c r="F49" s="16" t="s">
        <v>78</v>
      </c>
      <c r="G49" s="64">
        <f t="shared" si="5"/>
        <v>2.4364567218730308E-2</v>
      </c>
      <c r="H49" s="67">
        <f t="shared" si="7"/>
        <v>9.1677164876547649E-3</v>
      </c>
    </row>
    <row r="50" spans="2:8" x14ac:dyDescent="0.2">
      <c r="B50" s="16" t="s">
        <v>71</v>
      </c>
      <c r="C50" s="17">
        <v>3008.46</v>
      </c>
      <c r="D50" s="17">
        <v>3747.21</v>
      </c>
      <c r="F50" s="16" t="s">
        <v>71</v>
      </c>
      <c r="G50" s="64">
        <f t="shared" si="5"/>
        <v>1.0825358433543785E-4</v>
      </c>
      <c r="H50" s="67">
        <f t="shared" si="7"/>
        <v>2.2380961312414257E-4</v>
      </c>
    </row>
    <row r="51" spans="2:8" x14ac:dyDescent="0.2">
      <c r="B51" s="16" t="s">
        <v>194</v>
      </c>
      <c r="C51" s="17">
        <v>413782.45</v>
      </c>
      <c r="D51" s="17">
        <v>185552.54</v>
      </c>
      <c r="F51" s="16" t="s">
        <v>194</v>
      </c>
      <c r="G51" s="64">
        <f t="shared" si="5"/>
        <v>1.4889157026385292E-2</v>
      </c>
      <c r="H51" s="67">
        <f t="shared" si="7"/>
        <v>1.1082496628585532E-2</v>
      </c>
    </row>
    <row r="52" spans="2:8" s="32" customFormat="1" x14ac:dyDescent="0.2">
      <c r="B52" s="19" t="s">
        <v>72</v>
      </c>
      <c r="C52" s="20">
        <f>+SUM(C43:C51)</f>
        <v>6237544.7300000004</v>
      </c>
      <c r="D52" s="20">
        <f>+SUM(D43:D51)</f>
        <v>1313442.2</v>
      </c>
      <c r="F52" s="19" t="s">
        <v>72</v>
      </c>
      <c r="G52" s="62">
        <f t="shared" si="5"/>
        <v>0.2244459206621065</v>
      </c>
      <c r="H52" s="69">
        <f t="shared" si="7"/>
        <v>7.8447962789094466E-2</v>
      </c>
    </row>
    <row r="53" spans="2:8" x14ac:dyDescent="0.2">
      <c r="B53" s="16"/>
      <c r="C53" s="17"/>
      <c r="D53" s="17"/>
      <c r="F53" s="16"/>
      <c r="G53" s="61"/>
      <c r="H53" s="68"/>
    </row>
    <row r="54" spans="2:8" x14ac:dyDescent="0.2">
      <c r="B54" s="19" t="s">
        <v>120</v>
      </c>
      <c r="C54" s="20">
        <f>+C41+C52</f>
        <v>11810563.640000001</v>
      </c>
      <c r="D54" s="20">
        <f>+D41+D52</f>
        <v>3764749.8200000003</v>
      </c>
      <c r="F54" s="19" t="s">
        <v>120</v>
      </c>
      <c r="G54" s="62">
        <f>C54/C$56</f>
        <v>0.42498017160001988</v>
      </c>
      <c r="H54" s="69">
        <f>D54/D$56</f>
        <v>0.22485721396008909</v>
      </c>
    </row>
    <row r="55" spans="2:8" x14ac:dyDescent="0.2">
      <c r="B55" s="33"/>
      <c r="C55" s="34"/>
      <c r="D55" s="34"/>
      <c r="F55" s="33"/>
      <c r="G55" s="65"/>
      <c r="H55" s="70"/>
    </row>
    <row r="56" spans="2:8" s="32" customFormat="1" ht="13.5" thickBot="1" x14ac:dyDescent="0.25">
      <c r="B56" s="35" t="s">
        <v>73</v>
      </c>
      <c r="C56" s="36">
        <f>+C27+C34+C41+C52</f>
        <v>27790858.09</v>
      </c>
      <c r="D56" s="36">
        <f>+D27+D34+D41+D52</f>
        <v>16742846.509999998</v>
      </c>
      <c r="F56" s="35" t="s">
        <v>73</v>
      </c>
      <c r="G56" s="66">
        <f>C56/C$56</f>
        <v>1</v>
      </c>
      <c r="H56" s="71">
        <f>D56/D$56</f>
        <v>1</v>
      </c>
    </row>
    <row r="57" spans="2:8" ht="14.25" thickTop="1" x14ac:dyDescent="0.25">
      <c r="B57" s="37" t="s">
        <v>74</v>
      </c>
      <c r="C57" s="38">
        <f>+C24-C56</f>
        <v>0</v>
      </c>
      <c r="D57" s="38">
        <f>+D24-D56</f>
        <v>0</v>
      </c>
      <c r="F57" s="37" t="s">
        <v>74</v>
      </c>
      <c r="G57" s="38">
        <f>+G24-G56</f>
        <v>0</v>
      </c>
      <c r="H57" s="38">
        <f>+H24-H56</f>
        <v>0</v>
      </c>
    </row>
    <row r="58" spans="2:8" x14ac:dyDescent="0.2">
      <c r="C58" s="28"/>
      <c r="D58" s="28"/>
      <c r="G58" s="28"/>
      <c r="H58" s="28"/>
    </row>
    <row r="59" spans="2:8" x14ac:dyDescent="0.2">
      <c r="C59" s="28"/>
      <c r="D59" s="28"/>
      <c r="G59" s="28"/>
      <c r="H59" s="28"/>
    </row>
    <row r="60" spans="2:8" ht="13.5" thickBot="1" x14ac:dyDescent="0.25">
      <c r="C60" s="28"/>
      <c r="D60" s="28"/>
      <c r="G60" s="28"/>
      <c r="H60" s="28"/>
    </row>
    <row r="61" spans="2:8" ht="13.5" thickTop="1" x14ac:dyDescent="0.2">
      <c r="B61" s="12"/>
      <c r="C61" s="13">
        <v>2017</v>
      </c>
      <c r="D61" s="14">
        <v>2016</v>
      </c>
      <c r="F61" s="12"/>
      <c r="G61" s="13">
        <v>2017</v>
      </c>
      <c r="H61" s="14">
        <v>2016</v>
      </c>
    </row>
    <row r="62" spans="2:8" x14ac:dyDescent="0.2">
      <c r="B62" s="16" t="s">
        <v>112</v>
      </c>
      <c r="C62" s="17">
        <f>+C5</f>
        <v>12188924.32</v>
      </c>
      <c r="D62" s="18">
        <f>+D5</f>
        <v>11389542.550000001</v>
      </c>
      <c r="F62" s="16" t="s">
        <v>212</v>
      </c>
      <c r="G62" s="61">
        <f>+C62/C$65</f>
        <v>0.54860980049635955</v>
      </c>
      <c r="H62" s="68">
        <f>+D62/D$65</f>
        <v>0.79694304704788865</v>
      </c>
    </row>
    <row r="63" spans="2:8" x14ac:dyDescent="0.2">
      <c r="B63" s="16" t="s">
        <v>113</v>
      </c>
      <c r="C63" s="17">
        <f>+C13-C41</f>
        <v>9358414.8099999987</v>
      </c>
      <c r="D63" s="18">
        <f>+D13-D41</f>
        <v>2497201.5699999994</v>
      </c>
      <c r="F63" s="16" t="s">
        <v>113</v>
      </c>
      <c r="G63" s="61">
        <f>+C63/C$65</f>
        <v>0.42121174494881725</v>
      </c>
      <c r="H63" s="68">
        <f t="shared" ref="H63:H65" si="8">+D63/D$65</f>
        <v>0.17473286741341257</v>
      </c>
    </row>
    <row r="64" spans="2:8" x14ac:dyDescent="0.2">
      <c r="B64" s="16" t="s">
        <v>201</v>
      </c>
      <c r="C64" s="17">
        <f>+C20</f>
        <v>670500.04999999993</v>
      </c>
      <c r="D64" s="18">
        <f>+D20</f>
        <v>404794.76999999996</v>
      </c>
      <c r="F64" s="16" t="s">
        <v>114</v>
      </c>
      <c r="G64" s="61">
        <f>+C64/C$65</f>
        <v>3.0178454554823181E-2</v>
      </c>
      <c r="H64" s="68">
        <f t="shared" si="8"/>
        <v>2.8324085538698762E-2</v>
      </c>
    </row>
    <row r="65" spans="2:8" x14ac:dyDescent="0.2">
      <c r="B65" s="19" t="s">
        <v>115</v>
      </c>
      <c r="C65" s="20">
        <f>SUM(C62:C64)</f>
        <v>22217839.18</v>
      </c>
      <c r="D65" s="21">
        <f>SUM(D62:D64)</f>
        <v>14291538.890000001</v>
      </c>
      <c r="F65" s="19" t="s">
        <v>115</v>
      </c>
      <c r="G65" s="62">
        <f>+C65/C$65</f>
        <v>1</v>
      </c>
      <c r="H65" s="69">
        <f t="shared" si="8"/>
        <v>1</v>
      </c>
    </row>
    <row r="66" spans="2:8" x14ac:dyDescent="0.2">
      <c r="B66" s="16"/>
      <c r="C66" s="17"/>
      <c r="D66" s="18"/>
      <c r="F66" s="16"/>
      <c r="G66" s="61"/>
      <c r="H66" s="68"/>
    </row>
    <row r="67" spans="2:8" x14ac:dyDescent="0.2">
      <c r="B67" s="16" t="s">
        <v>116</v>
      </c>
      <c r="C67" s="17">
        <f>+C27</f>
        <v>9874171.9100000001</v>
      </c>
      <c r="D67" s="18">
        <f>+D27</f>
        <v>7520792.2400000002</v>
      </c>
      <c r="F67" s="16" t="s">
        <v>116</v>
      </c>
      <c r="G67" s="61">
        <f>C67/C$70</f>
        <v>0.4444253930368039</v>
      </c>
      <c r="H67" s="68">
        <f>D67/D$70</f>
        <v>0.52624089665126339</v>
      </c>
    </row>
    <row r="68" spans="2:8" x14ac:dyDescent="0.2">
      <c r="B68" s="16" t="s">
        <v>117</v>
      </c>
      <c r="C68" s="17">
        <f>+C34</f>
        <v>6106122.54</v>
      </c>
      <c r="D68" s="18">
        <f>+D34</f>
        <v>5457304.4499999993</v>
      </c>
      <c r="F68" s="16" t="s">
        <v>117</v>
      </c>
      <c r="G68" s="61">
        <f>C68/C$70</f>
        <v>0.27482972086217072</v>
      </c>
      <c r="H68" s="68">
        <f t="shared" ref="H68:H70" si="9">D68/D$70</f>
        <v>0.3818556204481629</v>
      </c>
    </row>
    <row r="69" spans="2:8" x14ac:dyDescent="0.2">
      <c r="B69" s="16" t="s">
        <v>118</v>
      </c>
      <c r="C69" s="17">
        <f>+C52</f>
        <v>6237544.7300000004</v>
      </c>
      <c r="D69" s="18">
        <f>+D52</f>
        <v>1313442.2</v>
      </c>
      <c r="F69" s="16" t="s">
        <v>118</v>
      </c>
      <c r="G69" s="61">
        <f>C69/C$70</f>
        <v>0.28074488610102544</v>
      </c>
      <c r="H69" s="68">
        <f t="shared" si="9"/>
        <v>9.1903482900573777E-2</v>
      </c>
    </row>
    <row r="70" spans="2:8" ht="13.5" thickBot="1" x14ac:dyDescent="0.25">
      <c r="B70" s="25" t="s">
        <v>119</v>
      </c>
      <c r="C70" s="26">
        <f>SUM(C67:C69)</f>
        <v>22217839.18</v>
      </c>
      <c r="D70" s="27">
        <f>SUM(D67:D69)</f>
        <v>14291538.889999999</v>
      </c>
      <c r="F70" s="25" t="s">
        <v>119</v>
      </c>
      <c r="G70" s="63">
        <f>C70/C$70</f>
        <v>1</v>
      </c>
      <c r="H70" s="72">
        <f t="shared" si="9"/>
        <v>1</v>
      </c>
    </row>
    <row r="71" spans="2:8" ht="14.25" thickTop="1" thickBot="1" x14ac:dyDescent="0.25"/>
    <row r="72" spans="2:8" ht="13.5" thickTop="1" x14ac:dyDescent="0.2">
      <c r="B72" s="73" t="s">
        <v>121</v>
      </c>
      <c r="C72" s="13">
        <v>2017</v>
      </c>
      <c r="D72" s="14">
        <v>2016</v>
      </c>
      <c r="F72" s="73" t="s">
        <v>140</v>
      </c>
      <c r="G72" s="13">
        <v>2017</v>
      </c>
      <c r="H72" s="14">
        <v>2016</v>
      </c>
    </row>
    <row r="73" spans="2:8" x14ac:dyDescent="0.2">
      <c r="B73" s="16" t="s">
        <v>122</v>
      </c>
      <c r="C73" s="61"/>
      <c r="D73" s="68"/>
      <c r="F73" s="96" t="s">
        <v>135</v>
      </c>
      <c r="G73" s="90">
        <f>+C27+C34</f>
        <v>15980294.449999999</v>
      </c>
      <c r="H73" s="91">
        <f>+D27+D34</f>
        <v>12978096.689999999</v>
      </c>
    </row>
    <row r="74" spans="2:8" x14ac:dyDescent="0.2">
      <c r="B74" s="16" t="s">
        <v>123</v>
      </c>
      <c r="C74" s="61">
        <f>(C34+C54)/C56</f>
        <v>0.64469712025361936</v>
      </c>
      <c r="D74" s="68">
        <f>(D34+D54)/D56</f>
        <v>0.55080563896300094</v>
      </c>
      <c r="F74" s="96" t="s">
        <v>211</v>
      </c>
      <c r="G74" s="90">
        <f>+C5</f>
        <v>12188924.32</v>
      </c>
      <c r="H74" s="91">
        <f>+D5</f>
        <v>11389542.550000001</v>
      </c>
    </row>
    <row r="75" spans="2:8" x14ac:dyDescent="0.2">
      <c r="B75" s="16" t="s">
        <v>124</v>
      </c>
      <c r="C75" s="61">
        <f>C34/(C54+C34)</f>
        <v>0.34080646826398786</v>
      </c>
      <c r="D75" s="68">
        <f>D34/(D54+D34)</f>
        <v>0.59176668128629428</v>
      </c>
      <c r="F75" s="97" t="s">
        <v>136</v>
      </c>
      <c r="G75" s="92">
        <f>+G73-G74</f>
        <v>3791370.129999999</v>
      </c>
      <c r="H75" s="93">
        <f>+H73-H74</f>
        <v>1588554.1399999987</v>
      </c>
    </row>
    <row r="76" spans="2:8" x14ac:dyDescent="0.2">
      <c r="B76" s="16" t="s">
        <v>125</v>
      </c>
      <c r="C76" s="61"/>
      <c r="D76" s="68"/>
      <c r="F76" s="96" t="s">
        <v>137</v>
      </c>
      <c r="G76" s="90">
        <f>+C13</f>
        <v>14931433.719999999</v>
      </c>
      <c r="H76" s="91">
        <f>+D13</f>
        <v>4948509.1899999995</v>
      </c>
    </row>
    <row r="77" spans="2:8" x14ac:dyDescent="0.2">
      <c r="B77" s="16" t="s">
        <v>126</v>
      </c>
      <c r="C77" s="61">
        <f>(C54+C34)/C27</f>
        <v>1.8145001265225085</v>
      </c>
      <c r="D77" s="68">
        <f>(D54+D34)/D27</f>
        <v>1.2262078216908701</v>
      </c>
      <c r="F77" s="96" t="s">
        <v>67</v>
      </c>
      <c r="G77" s="90">
        <f>+C41</f>
        <v>5573018.9100000001</v>
      </c>
      <c r="H77" s="91">
        <f>+D41</f>
        <v>2451307.62</v>
      </c>
    </row>
    <row r="78" spans="2:8" x14ac:dyDescent="0.2">
      <c r="B78" s="16" t="s">
        <v>127</v>
      </c>
      <c r="C78" s="61">
        <f>C27/C56</f>
        <v>0.35530287974638064</v>
      </c>
      <c r="D78" s="68">
        <f>D27/D56</f>
        <v>0.44919436103699917</v>
      </c>
      <c r="F78" s="97" t="s">
        <v>138</v>
      </c>
      <c r="G78" s="92">
        <f>+G76-G77</f>
        <v>9358414.8099999987</v>
      </c>
      <c r="H78" s="93">
        <f>+H76-H77</f>
        <v>2497201.5699999994</v>
      </c>
    </row>
    <row r="79" spans="2:8" x14ac:dyDescent="0.2">
      <c r="B79" s="16" t="s">
        <v>130</v>
      </c>
      <c r="C79" s="61"/>
      <c r="D79" s="68"/>
      <c r="F79" s="96" t="s">
        <v>114</v>
      </c>
      <c r="G79" s="90">
        <f>+C20</f>
        <v>670500.04999999993</v>
      </c>
      <c r="H79" s="91">
        <f>+D20</f>
        <v>404794.76999999996</v>
      </c>
    </row>
    <row r="80" spans="2:8" x14ac:dyDescent="0.2">
      <c r="B80" s="16" t="s">
        <v>128</v>
      </c>
      <c r="C80" s="74">
        <f>C22/C54</f>
        <v>1.3210151729896609</v>
      </c>
      <c r="D80" s="75">
        <f>D22/D54</f>
        <v>1.4219547688297647</v>
      </c>
      <c r="F80" s="96" t="s">
        <v>118</v>
      </c>
      <c r="G80" s="90">
        <f>+C52</f>
        <v>6237544.7300000004</v>
      </c>
      <c r="H80" s="91">
        <f>+D52</f>
        <v>1313442.2</v>
      </c>
    </row>
    <row r="81" spans="2:8" x14ac:dyDescent="0.2">
      <c r="B81" s="16" t="s">
        <v>129</v>
      </c>
      <c r="C81" s="74">
        <f>(C22-C7)/C54</f>
        <v>0.63240171914437093</v>
      </c>
      <c r="D81" s="75">
        <f>(D22-D7)/D54</f>
        <v>0.86231867062018985</v>
      </c>
      <c r="F81" s="97" t="s">
        <v>139</v>
      </c>
      <c r="G81" s="92">
        <f>+G75-G78</f>
        <v>-5567044.6799999997</v>
      </c>
      <c r="H81" s="93">
        <f>+H75-H78</f>
        <v>-908647.43000000063</v>
      </c>
    </row>
    <row r="82" spans="2:8" x14ac:dyDescent="0.2">
      <c r="B82" s="16" t="s">
        <v>131</v>
      </c>
      <c r="C82" s="61"/>
      <c r="D82" s="68"/>
      <c r="F82" s="82"/>
      <c r="G82" s="94"/>
      <c r="H82" s="98"/>
    </row>
    <row r="83" spans="2:8" x14ac:dyDescent="0.2">
      <c r="B83" s="16" t="s">
        <v>133</v>
      </c>
      <c r="C83" s="74">
        <f>(C52+C34)/'Dem Res Cva (2)'!C35</f>
        <v>3.5696956662721386</v>
      </c>
      <c r="D83" s="75">
        <f>(D52+D34)/'Dem Res Cva (2)'!D35</f>
        <v>3.4460698169113013</v>
      </c>
      <c r="F83" s="82" t="s">
        <v>144</v>
      </c>
      <c r="G83" s="100">
        <f>ABS(G81)*12/C86</f>
        <v>19.319369033646382</v>
      </c>
      <c r="H83" s="101">
        <f>ABS(H81)*12/D86</f>
        <v>5.549631633734859</v>
      </c>
    </row>
    <row r="84" spans="2:8" ht="13.5" thickBot="1" x14ac:dyDescent="0.25">
      <c r="B84" s="79" t="s">
        <v>134</v>
      </c>
      <c r="C84" s="80">
        <f>'Dem Res Cva (2)'!C20/(-'Dem Res Cva (2)'!C27)</f>
        <v>9.5132360400992333</v>
      </c>
      <c r="D84" s="81">
        <f>'Dem Res Cva (2)'!D20/(-'Dem Res Cva (2)'!D27)</f>
        <v>15.904308697490894</v>
      </c>
      <c r="F84" s="82"/>
      <c r="G84" s="95"/>
      <c r="H84" s="99"/>
    </row>
    <row r="85" spans="2:8" ht="13.5" thickTop="1" x14ac:dyDescent="0.2">
      <c r="B85" s="82"/>
      <c r="C85" s="86"/>
      <c r="D85" s="88"/>
      <c r="F85" s="82" t="s">
        <v>141</v>
      </c>
      <c r="G85" s="95">
        <f>+'Dem Res Cva (2)'!C5/365</f>
        <v>52775.1213150685</v>
      </c>
      <c r="H85" s="99">
        <f>+'Dem Res Cva (2)'!D5/365</f>
        <v>31981.663123287668</v>
      </c>
    </row>
    <row r="86" spans="2:8" ht="13.5" thickBot="1" x14ac:dyDescent="0.25">
      <c r="B86" s="84" t="s">
        <v>132</v>
      </c>
      <c r="C86" s="87">
        <f>'Dem Res Cva (2)'!C35</f>
        <v>3457904.6574271661</v>
      </c>
      <c r="D86" s="89">
        <f>'Dem Res Cva (2)'!D35</f>
        <v>1964773.4984280129</v>
      </c>
      <c r="F86" s="82" t="s">
        <v>142</v>
      </c>
      <c r="G86" s="95">
        <f>+G76/G85</f>
        <v>282.92561623608685</v>
      </c>
      <c r="H86" s="99">
        <f>+H76/H85</f>
        <v>154.72957647398607</v>
      </c>
    </row>
    <row r="87" spans="2:8" ht="14.25" thickTop="1" thickBot="1" x14ac:dyDescent="0.25">
      <c r="F87" s="84" t="s">
        <v>143</v>
      </c>
      <c r="G87" s="87">
        <f>+G77/G85</f>
        <v>105.59935763537082</v>
      </c>
      <c r="H87" s="89">
        <f>+H77/H85</f>
        <v>76.647284118725636</v>
      </c>
    </row>
    <row r="88" spans="2:8" ht="13.5" thickTop="1" x14ac:dyDescent="0.2">
      <c r="B88" s="73" t="s">
        <v>202</v>
      </c>
      <c r="C88" s="13">
        <v>2017</v>
      </c>
      <c r="D88" s="14">
        <v>2016</v>
      </c>
    </row>
    <row r="89" spans="2:8" x14ac:dyDescent="0.2">
      <c r="B89" s="16" t="s">
        <v>203</v>
      </c>
      <c r="C89" s="76">
        <f>Balanço!T3*1.23</f>
        <v>23693390.714400001</v>
      </c>
      <c r="D89" s="77">
        <f>Balanço!W3*1.23</f>
        <v>14358167.659199998</v>
      </c>
    </row>
    <row r="90" spans="2:8" x14ac:dyDescent="0.2">
      <c r="B90" s="16" t="s">
        <v>204</v>
      </c>
      <c r="C90" s="76">
        <f>13389758.43*1.23</f>
        <v>16469402.868899999</v>
      </c>
      <c r="D90" s="77">
        <f>3430935.99*1.23</f>
        <v>4220051.2677000007</v>
      </c>
    </row>
    <row r="91" spans="2:8" x14ac:dyDescent="0.2">
      <c r="B91" s="16" t="s">
        <v>205</v>
      </c>
      <c r="C91" s="76">
        <f>-Balanço!T8*1.23</f>
        <v>4544322.8958000001</v>
      </c>
      <c r="D91" s="77">
        <f>-Balanço!W8*1.23</f>
        <v>4461359.1252000006</v>
      </c>
    </row>
    <row r="92" spans="2:8" x14ac:dyDescent="0.2">
      <c r="B92" s="16" t="s">
        <v>207</v>
      </c>
      <c r="C92" s="76">
        <v>14778508.039999999</v>
      </c>
      <c r="D92" s="77">
        <v>9595625.0700000003</v>
      </c>
    </row>
    <row r="93" spans="2:8" x14ac:dyDescent="0.2">
      <c r="B93" s="16"/>
      <c r="C93" s="61"/>
      <c r="D93" s="68"/>
    </row>
    <row r="94" spans="2:8" x14ac:dyDescent="0.2">
      <c r="B94" s="16" t="s">
        <v>206</v>
      </c>
      <c r="C94" s="168">
        <f>365*(Balanço!C13+Balanço!C7)/'Bal Funcional Equi'!C89</f>
        <v>58.984712188138609</v>
      </c>
      <c r="D94" s="169">
        <f>365*(Balanço!F7+Balanço!F13)/'Bal Funcional Equi'!D89</f>
        <v>42.554273992510517</v>
      </c>
    </row>
    <row r="95" spans="2:8" x14ac:dyDescent="0.2">
      <c r="B95" s="16" t="s">
        <v>208</v>
      </c>
      <c r="C95" s="168">
        <f>365*Balanço!C12/'Bal Funcional Equi'!C92</f>
        <v>200.86691053422467</v>
      </c>
      <c r="D95" s="169">
        <f>365*Balanço!F12/'Bal Funcional Equi'!D92</f>
        <v>80.1422323079574</v>
      </c>
    </row>
    <row r="96" spans="2:8" x14ac:dyDescent="0.2">
      <c r="B96" s="16" t="s">
        <v>209</v>
      </c>
      <c r="C96" s="168">
        <f>365*Balanço!L22/('Bal Funcional Equi'!C90+'Bal Funcional Equi'!C91)</f>
        <v>59.140261891951177</v>
      </c>
      <c r="D96" s="169">
        <f>365*Balanço!O22/('Bal Funcional Equi'!D90+'Bal Funcional Equi'!D91)</f>
        <v>39.906969958860536</v>
      </c>
    </row>
    <row r="97" spans="2:4" x14ac:dyDescent="0.2">
      <c r="B97" s="16"/>
      <c r="C97" s="74"/>
      <c r="D97" s="75"/>
    </row>
    <row r="98" spans="2:4" x14ac:dyDescent="0.2">
      <c r="B98" s="16" t="s">
        <v>210</v>
      </c>
      <c r="C98" s="168">
        <f>+C94+C95-C96</f>
        <v>200.7113608304121</v>
      </c>
      <c r="D98" s="169">
        <f>+D94+D95-D96</f>
        <v>82.789536341607374</v>
      </c>
    </row>
    <row r="99" spans="2:4" ht="13.5" thickBot="1" x14ac:dyDescent="0.25">
      <c r="B99" s="79"/>
      <c r="C99" s="80"/>
      <c r="D99" s="81"/>
    </row>
    <row r="100" spans="2:4" ht="13.5" thickTop="1" x14ac:dyDescent="0.2"/>
  </sheetData>
  <printOptions horizontalCentered="1"/>
  <pageMargins left="0.39370078740157483" right="0.39370078740157483" top="0.98425196850393704" bottom="0.98425196850393704" header="0.59055118110236227" footer="0.39370078740157483"/>
  <pageSetup scale="84" orientation="portrait" horizontalDpi="300" verticalDpi="300" r:id="rId1"/>
  <headerFooter alignWithMargins="0">
    <oddHeader>&amp;L&amp;G&amp;C&amp;"Arial Narrow,Negrito"&amp;12SECIL - Companhia Geral de Cal e Cimento, S.A.&amp;"Arial Narrow,Normal"&amp;10
&amp;RANEXO VIII</oddHeader>
  </headerFooter>
  <rowBreaks count="1" manualBreakCount="1">
    <brk id="56" min="1" max="7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68"/>
  <sheetViews>
    <sheetView showGridLines="0" tabSelected="1" view="pageBreakPreview" zoomScale="85" zoomScaleNormal="100" workbookViewId="0">
      <selection activeCell="C29" sqref="C29"/>
    </sheetView>
  </sheetViews>
  <sheetFormatPr defaultRowHeight="12.75" x14ac:dyDescent="0.2"/>
  <cols>
    <col min="1" max="1" width="9.140625" style="41"/>
    <col min="2" max="2" width="47" style="41" customWidth="1"/>
    <col min="3" max="3" width="12.5703125" style="41" customWidth="1"/>
    <col min="4" max="4" width="12.140625" style="41" bestFit="1" customWidth="1"/>
    <col min="5" max="5" width="1.5703125" style="41" customWidth="1"/>
    <col min="6" max="6" width="9.7109375" style="41" bestFit="1" customWidth="1"/>
    <col min="7" max="8" width="10" style="41" bestFit="1" customWidth="1"/>
    <col min="9" max="10" width="9.85546875" style="41" bestFit="1" customWidth="1"/>
    <col min="11" max="258" width="9.140625" style="41"/>
    <col min="259" max="259" width="47" style="41" customWidth="1"/>
    <col min="260" max="260" width="12.140625" style="41" bestFit="1" customWidth="1"/>
    <col min="261" max="261" width="1.5703125" style="41" customWidth="1"/>
    <col min="262" max="262" width="9.7109375" style="41" bestFit="1" customWidth="1"/>
    <col min="263" max="264" width="10" style="41" bestFit="1" customWidth="1"/>
    <col min="265" max="266" width="9.85546875" style="41" bestFit="1" customWidth="1"/>
    <col min="267" max="514" width="9.140625" style="41"/>
    <col min="515" max="515" width="47" style="41" customWidth="1"/>
    <col min="516" max="516" width="12.140625" style="41" bestFit="1" customWidth="1"/>
    <col min="517" max="517" width="1.5703125" style="41" customWidth="1"/>
    <col min="518" max="518" width="9.7109375" style="41" bestFit="1" customWidth="1"/>
    <col min="519" max="520" width="10" style="41" bestFit="1" customWidth="1"/>
    <col min="521" max="522" width="9.85546875" style="41" bestFit="1" customWidth="1"/>
    <col min="523" max="770" width="9.140625" style="41"/>
    <col min="771" max="771" width="47" style="41" customWidth="1"/>
    <col min="772" max="772" width="12.140625" style="41" bestFit="1" customWidth="1"/>
    <col min="773" max="773" width="1.5703125" style="41" customWidth="1"/>
    <col min="774" max="774" width="9.7109375" style="41" bestFit="1" customWidth="1"/>
    <col min="775" max="776" width="10" style="41" bestFit="1" customWidth="1"/>
    <col min="777" max="778" width="9.85546875" style="41" bestFit="1" customWidth="1"/>
    <col min="779" max="1026" width="9.140625" style="41"/>
    <col min="1027" max="1027" width="47" style="41" customWidth="1"/>
    <col min="1028" max="1028" width="12.140625" style="41" bestFit="1" customWidth="1"/>
    <col min="1029" max="1029" width="1.5703125" style="41" customWidth="1"/>
    <col min="1030" max="1030" width="9.7109375" style="41" bestFit="1" customWidth="1"/>
    <col min="1031" max="1032" width="10" style="41" bestFit="1" customWidth="1"/>
    <col min="1033" max="1034" width="9.85546875" style="41" bestFit="1" customWidth="1"/>
    <col min="1035" max="1282" width="9.140625" style="41"/>
    <col min="1283" max="1283" width="47" style="41" customWidth="1"/>
    <col min="1284" max="1284" width="12.140625" style="41" bestFit="1" customWidth="1"/>
    <col min="1285" max="1285" width="1.5703125" style="41" customWidth="1"/>
    <col min="1286" max="1286" width="9.7109375" style="41" bestFit="1" customWidth="1"/>
    <col min="1287" max="1288" width="10" style="41" bestFit="1" customWidth="1"/>
    <col min="1289" max="1290" width="9.85546875" style="41" bestFit="1" customWidth="1"/>
    <col min="1291" max="1538" width="9.140625" style="41"/>
    <col min="1539" max="1539" width="47" style="41" customWidth="1"/>
    <col min="1540" max="1540" width="12.140625" style="41" bestFit="1" customWidth="1"/>
    <col min="1541" max="1541" width="1.5703125" style="41" customWidth="1"/>
    <col min="1542" max="1542" width="9.7109375" style="41" bestFit="1" customWidth="1"/>
    <col min="1543" max="1544" width="10" style="41" bestFit="1" customWidth="1"/>
    <col min="1545" max="1546" width="9.85546875" style="41" bestFit="1" customWidth="1"/>
    <col min="1547" max="1794" width="9.140625" style="41"/>
    <col min="1795" max="1795" width="47" style="41" customWidth="1"/>
    <col min="1796" max="1796" width="12.140625" style="41" bestFit="1" customWidth="1"/>
    <col min="1797" max="1797" width="1.5703125" style="41" customWidth="1"/>
    <col min="1798" max="1798" width="9.7109375" style="41" bestFit="1" customWidth="1"/>
    <col min="1799" max="1800" width="10" style="41" bestFit="1" customWidth="1"/>
    <col min="1801" max="1802" width="9.85546875" style="41" bestFit="1" customWidth="1"/>
    <col min="1803" max="2050" width="9.140625" style="41"/>
    <col min="2051" max="2051" width="47" style="41" customWidth="1"/>
    <col min="2052" max="2052" width="12.140625" style="41" bestFit="1" customWidth="1"/>
    <col min="2053" max="2053" width="1.5703125" style="41" customWidth="1"/>
    <col min="2054" max="2054" width="9.7109375" style="41" bestFit="1" customWidth="1"/>
    <col min="2055" max="2056" width="10" style="41" bestFit="1" customWidth="1"/>
    <col min="2057" max="2058" width="9.85546875" style="41" bestFit="1" customWidth="1"/>
    <col min="2059" max="2306" width="9.140625" style="41"/>
    <col min="2307" max="2307" width="47" style="41" customWidth="1"/>
    <col min="2308" max="2308" width="12.140625" style="41" bestFit="1" customWidth="1"/>
    <col min="2309" max="2309" width="1.5703125" style="41" customWidth="1"/>
    <col min="2310" max="2310" width="9.7109375" style="41" bestFit="1" customWidth="1"/>
    <col min="2311" max="2312" width="10" style="41" bestFit="1" customWidth="1"/>
    <col min="2313" max="2314" width="9.85546875" style="41" bestFit="1" customWidth="1"/>
    <col min="2315" max="2562" width="9.140625" style="41"/>
    <col min="2563" max="2563" width="47" style="41" customWidth="1"/>
    <col min="2564" max="2564" width="12.140625" style="41" bestFit="1" customWidth="1"/>
    <col min="2565" max="2565" width="1.5703125" style="41" customWidth="1"/>
    <col min="2566" max="2566" width="9.7109375" style="41" bestFit="1" customWidth="1"/>
    <col min="2567" max="2568" width="10" style="41" bestFit="1" customWidth="1"/>
    <col min="2569" max="2570" width="9.85546875" style="41" bestFit="1" customWidth="1"/>
    <col min="2571" max="2818" width="9.140625" style="41"/>
    <col min="2819" max="2819" width="47" style="41" customWidth="1"/>
    <col min="2820" max="2820" width="12.140625" style="41" bestFit="1" customWidth="1"/>
    <col min="2821" max="2821" width="1.5703125" style="41" customWidth="1"/>
    <col min="2822" max="2822" width="9.7109375" style="41" bestFit="1" customWidth="1"/>
    <col min="2823" max="2824" width="10" style="41" bestFit="1" customWidth="1"/>
    <col min="2825" max="2826" width="9.85546875" style="41" bestFit="1" customWidth="1"/>
    <col min="2827" max="3074" width="9.140625" style="41"/>
    <col min="3075" max="3075" width="47" style="41" customWidth="1"/>
    <col min="3076" max="3076" width="12.140625" style="41" bestFit="1" customWidth="1"/>
    <col min="3077" max="3077" width="1.5703125" style="41" customWidth="1"/>
    <col min="3078" max="3078" width="9.7109375" style="41" bestFit="1" customWidth="1"/>
    <col min="3079" max="3080" width="10" style="41" bestFit="1" customWidth="1"/>
    <col min="3081" max="3082" width="9.85546875" style="41" bestFit="1" customWidth="1"/>
    <col min="3083" max="3330" width="9.140625" style="41"/>
    <col min="3331" max="3331" width="47" style="41" customWidth="1"/>
    <col min="3332" max="3332" width="12.140625" style="41" bestFit="1" customWidth="1"/>
    <col min="3333" max="3333" width="1.5703125" style="41" customWidth="1"/>
    <col min="3334" max="3334" width="9.7109375" style="41" bestFit="1" customWidth="1"/>
    <col min="3335" max="3336" width="10" style="41" bestFit="1" customWidth="1"/>
    <col min="3337" max="3338" width="9.85546875" style="41" bestFit="1" customWidth="1"/>
    <col min="3339" max="3586" width="9.140625" style="41"/>
    <col min="3587" max="3587" width="47" style="41" customWidth="1"/>
    <col min="3588" max="3588" width="12.140625" style="41" bestFit="1" customWidth="1"/>
    <col min="3589" max="3589" width="1.5703125" style="41" customWidth="1"/>
    <col min="3590" max="3590" width="9.7109375" style="41" bestFit="1" customWidth="1"/>
    <col min="3591" max="3592" width="10" style="41" bestFit="1" customWidth="1"/>
    <col min="3593" max="3594" width="9.85546875" style="41" bestFit="1" customWidth="1"/>
    <col min="3595" max="3842" width="9.140625" style="41"/>
    <col min="3843" max="3843" width="47" style="41" customWidth="1"/>
    <col min="3844" max="3844" width="12.140625" style="41" bestFit="1" customWidth="1"/>
    <col min="3845" max="3845" width="1.5703125" style="41" customWidth="1"/>
    <col min="3846" max="3846" width="9.7109375" style="41" bestFit="1" customWidth="1"/>
    <col min="3847" max="3848" width="10" style="41" bestFit="1" customWidth="1"/>
    <col min="3849" max="3850" width="9.85546875" style="41" bestFit="1" customWidth="1"/>
    <col min="3851" max="4098" width="9.140625" style="41"/>
    <col min="4099" max="4099" width="47" style="41" customWidth="1"/>
    <col min="4100" max="4100" width="12.140625" style="41" bestFit="1" customWidth="1"/>
    <col min="4101" max="4101" width="1.5703125" style="41" customWidth="1"/>
    <col min="4102" max="4102" width="9.7109375" style="41" bestFit="1" customWidth="1"/>
    <col min="4103" max="4104" width="10" style="41" bestFit="1" customWidth="1"/>
    <col min="4105" max="4106" width="9.85546875" style="41" bestFit="1" customWidth="1"/>
    <col min="4107" max="4354" width="9.140625" style="41"/>
    <col min="4355" max="4355" width="47" style="41" customWidth="1"/>
    <col min="4356" max="4356" width="12.140625" style="41" bestFit="1" customWidth="1"/>
    <col min="4357" max="4357" width="1.5703125" style="41" customWidth="1"/>
    <col min="4358" max="4358" width="9.7109375" style="41" bestFit="1" customWidth="1"/>
    <col min="4359" max="4360" width="10" style="41" bestFit="1" customWidth="1"/>
    <col min="4361" max="4362" width="9.85546875" style="41" bestFit="1" customWidth="1"/>
    <col min="4363" max="4610" width="9.140625" style="41"/>
    <col min="4611" max="4611" width="47" style="41" customWidth="1"/>
    <col min="4612" max="4612" width="12.140625" style="41" bestFit="1" customWidth="1"/>
    <col min="4613" max="4613" width="1.5703125" style="41" customWidth="1"/>
    <col min="4614" max="4614" width="9.7109375" style="41" bestFit="1" customWidth="1"/>
    <col min="4615" max="4616" width="10" style="41" bestFit="1" customWidth="1"/>
    <col min="4617" max="4618" width="9.85546875" style="41" bestFit="1" customWidth="1"/>
    <col min="4619" max="4866" width="9.140625" style="41"/>
    <col min="4867" max="4867" width="47" style="41" customWidth="1"/>
    <col min="4868" max="4868" width="12.140625" style="41" bestFit="1" customWidth="1"/>
    <col min="4869" max="4869" width="1.5703125" style="41" customWidth="1"/>
    <col min="4870" max="4870" width="9.7109375" style="41" bestFit="1" customWidth="1"/>
    <col min="4871" max="4872" width="10" style="41" bestFit="1" customWidth="1"/>
    <col min="4873" max="4874" width="9.85546875" style="41" bestFit="1" customWidth="1"/>
    <col min="4875" max="5122" width="9.140625" style="41"/>
    <col min="5123" max="5123" width="47" style="41" customWidth="1"/>
    <col min="5124" max="5124" width="12.140625" style="41" bestFit="1" customWidth="1"/>
    <col min="5125" max="5125" width="1.5703125" style="41" customWidth="1"/>
    <col min="5126" max="5126" width="9.7109375" style="41" bestFit="1" customWidth="1"/>
    <col min="5127" max="5128" width="10" style="41" bestFit="1" customWidth="1"/>
    <col min="5129" max="5130" width="9.85546875" style="41" bestFit="1" customWidth="1"/>
    <col min="5131" max="5378" width="9.140625" style="41"/>
    <col min="5379" max="5379" width="47" style="41" customWidth="1"/>
    <col min="5380" max="5380" width="12.140625" style="41" bestFit="1" customWidth="1"/>
    <col min="5381" max="5381" width="1.5703125" style="41" customWidth="1"/>
    <col min="5382" max="5382" width="9.7109375" style="41" bestFit="1" customWidth="1"/>
    <col min="5383" max="5384" width="10" style="41" bestFit="1" customWidth="1"/>
    <col min="5385" max="5386" width="9.85546875" style="41" bestFit="1" customWidth="1"/>
    <col min="5387" max="5634" width="9.140625" style="41"/>
    <col min="5635" max="5635" width="47" style="41" customWidth="1"/>
    <col min="5636" max="5636" width="12.140625" style="41" bestFit="1" customWidth="1"/>
    <col min="5637" max="5637" width="1.5703125" style="41" customWidth="1"/>
    <col min="5638" max="5638" width="9.7109375" style="41" bestFit="1" customWidth="1"/>
    <col min="5639" max="5640" width="10" style="41" bestFit="1" customWidth="1"/>
    <col min="5641" max="5642" width="9.85546875" style="41" bestFit="1" customWidth="1"/>
    <col min="5643" max="5890" width="9.140625" style="41"/>
    <col min="5891" max="5891" width="47" style="41" customWidth="1"/>
    <col min="5892" max="5892" width="12.140625" style="41" bestFit="1" customWidth="1"/>
    <col min="5893" max="5893" width="1.5703125" style="41" customWidth="1"/>
    <col min="5894" max="5894" width="9.7109375" style="41" bestFit="1" customWidth="1"/>
    <col min="5895" max="5896" width="10" style="41" bestFit="1" customWidth="1"/>
    <col min="5897" max="5898" width="9.85546875" style="41" bestFit="1" customWidth="1"/>
    <col min="5899" max="6146" width="9.140625" style="41"/>
    <col min="6147" max="6147" width="47" style="41" customWidth="1"/>
    <col min="6148" max="6148" width="12.140625" style="41" bestFit="1" customWidth="1"/>
    <col min="6149" max="6149" width="1.5703125" style="41" customWidth="1"/>
    <col min="6150" max="6150" width="9.7109375" style="41" bestFit="1" customWidth="1"/>
    <col min="6151" max="6152" width="10" style="41" bestFit="1" customWidth="1"/>
    <col min="6153" max="6154" width="9.85546875" style="41" bestFit="1" customWidth="1"/>
    <col min="6155" max="6402" width="9.140625" style="41"/>
    <col min="6403" max="6403" width="47" style="41" customWidth="1"/>
    <col min="6404" max="6404" width="12.140625" style="41" bestFit="1" customWidth="1"/>
    <col min="6405" max="6405" width="1.5703125" style="41" customWidth="1"/>
    <col min="6406" max="6406" width="9.7109375" style="41" bestFit="1" customWidth="1"/>
    <col min="6407" max="6408" width="10" style="41" bestFit="1" customWidth="1"/>
    <col min="6409" max="6410" width="9.85546875" style="41" bestFit="1" customWidth="1"/>
    <col min="6411" max="6658" width="9.140625" style="41"/>
    <col min="6659" max="6659" width="47" style="41" customWidth="1"/>
    <col min="6660" max="6660" width="12.140625" style="41" bestFit="1" customWidth="1"/>
    <col min="6661" max="6661" width="1.5703125" style="41" customWidth="1"/>
    <col min="6662" max="6662" width="9.7109375" style="41" bestFit="1" customWidth="1"/>
    <col min="6663" max="6664" width="10" style="41" bestFit="1" customWidth="1"/>
    <col min="6665" max="6666" width="9.85546875" style="41" bestFit="1" customWidth="1"/>
    <col min="6667" max="6914" width="9.140625" style="41"/>
    <col min="6915" max="6915" width="47" style="41" customWidth="1"/>
    <col min="6916" max="6916" width="12.140625" style="41" bestFit="1" customWidth="1"/>
    <col min="6917" max="6917" width="1.5703125" style="41" customWidth="1"/>
    <col min="6918" max="6918" width="9.7109375" style="41" bestFit="1" customWidth="1"/>
    <col min="6919" max="6920" width="10" style="41" bestFit="1" customWidth="1"/>
    <col min="6921" max="6922" width="9.85546875" style="41" bestFit="1" customWidth="1"/>
    <col min="6923" max="7170" width="9.140625" style="41"/>
    <col min="7171" max="7171" width="47" style="41" customWidth="1"/>
    <col min="7172" max="7172" width="12.140625" style="41" bestFit="1" customWidth="1"/>
    <col min="7173" max="7173" width="1.5703125" style="41" customWidth="1"/>
    <col min="7174" max="7174" width="9.7109375" style="41" bestFit="1" customWidth="1"/>
    <col min="7175" max="7176" width="10" style="41" bestFit="1" customWidth="1"/>
    <col min="7177" max="7178" width="9.85546875" style="41" bestFit="1" customWidth="1"/>
    <col min="7179" max="7426" width="9.140625" style="41"/>
    <col min="7427" max="7427" width="47" style="41" customWidth="1"/>
    <col min="7428" max="7428" width="12.140625" style="41" bestFit="1" customWidth="1"/>
    <col min="7429" max="7429" width="1.5703125" style="41" customWidth="1"/>
    <col min="7430" max="7430" width="9.7109375" style="41" bestFit="1" customWidth="1"/>
    <col min="7431" max="7432" width="10" style="41" bestFit="1" customWidth="1"/>
    <col min="7433" max="7434" width="9.85546875" style="41" bestFit="1" customWidth="1"/>
    <col min="7435" max="7682" width="9.140625" style="41"/>
    <col min="7683" max="7683" width="47" style="41" customWidth="1"/>
    <col min="7684" max="7684" width="12.140625" style="41" bestFit="1" customWidth="1"/>
    <col min="7685" max="7685" width="1.5703125" style="41" customWidth="1"/>
    <col min="7686" max="7686" width="9.7109375" style="41" bestFit="1" customWidth="1"/>
    <col min="7687" max="7688" width="10" style="41" bestFit="1" customWidth="1"/>
    <col min="7689" max="7690" width="9.85546875" style="41" bestFit="1" customWidth="1"/>
    <col min="7691" max="7938" width="9.140625" style="41"/>
    <col min="7939" max="7939" width="47" style="41" customWidth="1"/>
    <col min="7940" max="7940" width="12.140625" style="41" bestFit="1" customWidth="1"/>
    <col min="7941" max="7941" width="1.5703125" style="41" customWidth="1"/>
    <col min="7942" max="7942" width="9.7109375" style="41" bestFit="1" customWidth="1"/>
    <col min="7943" max="7944" width="10" style="41" bestFit="1" customWidth="1"/>
    <col min="7945" max="7946" width="9.85546875" style="41" bestFit="1" customWidth="1"/>
    <col min="7947" max="8194" width="9.140625" style="41"/>
    <col min="8195" max="8195" width="47" style="41" customWidth="1"/>
    <col min="8196" max="8196" width="12.140625" style="41" bestFit="1" customWidth="1"/>
    <col min="8197" max="8197" width="1.5703125" style="41" customWidth="1"/>
    <col min="8198" max="8198" width="9.7109375" style="41" bestFit="1" customWidth="1"/>
    <col min="8199" max="8200" width="10" style="41" bestFit="1" customWidth="1"/>
    <col min="8201" max="8202" width="9.85546875" style="41" bestFit="1" customWidth="1"/>
    <col min="8203" max="8450" width="9.140625" style="41"/>
    <col min="8451" max="8451" width="47" style="41" customWidth="1"/>
    <col min="8452" max="8452" width="12.140625" style="41" bestFit="1" customWidth="1"/>
    <col min="8453" max="8453" width="1.5703125" style="41" customWidth="1"/>
    <col min="8454" max="8454" width="9.7109375" style="41" bestFit="1" customWidth="1"/>
    <col min="8455" max="8456" width="10" style="41" bestFit="1" customWidth="1"/>
    <col min="8457" max="8458" width="9.85546875" style="41" bestFit="1" customWidth="1"/>
    <col min="8459" max="8706" width="9.140625" style="41"/>
    <col min="8707" max="8707" width="47" style="41" customWidth="1"/>
    <col min="8708" max="8708" width="12.140625" style="41" bestFit="1" customWidth="1"/>
    <col min="8709" max="8709" width="1.5703125" style="41" customWidth="1"/>
    <col min="8710" max="8710" width="9.7109375" style="41" bestFit="1" customWidth="1"/>
    <col min="8711" max="8712" width="10" style="41" bestFit="1" customWidth="1"/>
    <col min="8713" max="8714" width="9.85546875" style="41" bestFit="1" customWidth="1"/>
    <col min="8715" max="8962" width="9.140625" style="41"/>
    <col min="8963" max="8963" width="47" style="41" customWidth="1"/>
    <col min="8964" max="8964" width="12.140625" style="41" bestFit="1" customWidth="1"/>
    <col min="8965" max="8965" width="1.5703125" style="41" customWidth="1"/>
    <col min="8966" max="8966" width="9.7109375" style="41" bestFit="1" customWidth="1"/>
    <col min="8967" max="8968" width="10" style="41" bestFit="1" customWidth="1"/>
    <col min="8969" max="8970" width="9.85546875" style="41" bestFit="1" customWidth="1"/>
    <col min="8971" max="9218" width="9.140625" style="41"/>
    <col min="9219" max="9219" width="47" style="41" customWidth="1"/>
    <col min="9220" max="9220" width="12.140625" style="41" bestFit="1" customWidth="1"/>
    <col min="9221" max="9221" width="1.5703125" style="41" customWidth="1"/>
    <col min="9222" max="9222" width="9.7109375" style="41" bestFit="1" customWidth="1"/>
    <col min="9223" max="9224" width="10" style="41" bestFit="1" customWidth="1"/>
    <col min="9225" max="9226" width="9.85546875" style="41" bestFit="1" customWidth="1"/>
    <col min="9227" max="9474" width="9.140625" style="41"/>
    <col min="9475" max="9475" width="47" style="41" customWidth="1"/>
    <col min="9476" max="9476" width="12.140625" style="41" bestFit="1" customWidth="1"/>
    <col min="9477" max="9477" width="1.5703125" style="41" customWidth="1"/>
    <col min="9478" max="9478" width="9.7109375" style="41" bestFit="1" customWidth="1"/>
    <col min="9479" max="9480" width="10" style="41" bestFit="1" customWidth="1"/>
    <col min="9481" max="9482" width="9.85546875" style="41" bestFit="1" customWidth="1"/>
    <col min="9483" max="9730" width="9.140625" style="41"/>
    <col min="9731" max="9731" width="47" style="41" customWidth="1"/>
    <col min="9732" max="9732" width="12.140625" style="41" bestFit="1" customWidth="1"/>
    <col min="9733" max="9733" width="1.5703125" style="41" customWidth="1"/>
    <col min="9734" max="9734" width="9.7109375" style="41" bestFit="1" customWidth="1"/>
    <col min="9735" max="9736" width="10" style="41" bestFit="1" customWidth="1"/>
    <col min="9737" max="9738" width="9.85546875" style="41" bestFit="1" customWidth="1"/>
    <col min="9739" max="9986" width="9.140625" style="41"/>
    <col min="9987" max="9987" width="47" style="41" customWidth="1"/>
    <col min="9988" max="9988" width="12.140625" style="41" bestFit="1" customWidth="1"/>
    <col min="9989" max="9989" width="1.5703125" style="41" customWidth="1"/>
    <col min="9990" max="9990" width="9.7109375" style="41" bestFit="1" customWidth="1"/>
    <col min="9991" max="9992" width="10" style="41" bestFit="1" customWidth="1"/>
    <col min="9993" max="9994" width="9.85546875" style="41" bestFit="1" customWidth="1"/>
    <col min="9995" max="10242" width="9.140625" style="41"/>
    <col min="10243" max="10243" width="47" style="41" customWidth="1"/>
    <col min="10244" max="10244" width="12.140625" style="41" bestFit="1" customWidth="1"/>
    <col min="10245" max="10245" width="1.5703125" style="41" customWidth="1"/>
    <col min="10246" max="10246" width="9.7109375" style="41" bestFit="1" customWidth="1"/>
    <col min="10247" max="10248" width="10" style="41" bestFit="1" customWidth="1"/>
    <col min="10249" max="10250" width="9.85546875" style="41" bestFit="1" customWidth="1"/>
    <col min="10251" max="10498" width="9.140625" style="41"/>
    <col min="10499" max="10499" width="47" style="41" customWidth="1"/>
    <col min="10500" max="10500" width="12.140625" style="41" bestFit="1" customWidth="1"/>
    <col min="10501" max="10501" width="1.5703125" style="41" customWidth="1"/>
    <col min="10502" max="10502" width="9.7109375" style="41" bestFit="1" customWidth="1"/>
    <col min="10503" max="10504" width="10" style="41" bestFit="1" customWidth="1"/>
    <col min="10505" max="10506" width="9.85546875" style="41" bestFit="1" customWidth="1"/>
    <col min="10507" max="10754" width="9.140625" style="41"/>
    <col min="10755" max="10755" width="47" style="41" customWidth="1"/>
    <col min="10756" max="10756" width="12.140625" style="41" bestFit="1" customWidth="1"/>
    <col min="10757" max="10757" width="1.5703125" style="41" customWidth="1"/>
    <col min="10758" max="10758" width="9.7109375" style="41" bestFit="1" customWidth="1"/>
    <col min="10759" max="10760" width="10" style="41" bestFit="1" customWidth="1"/>
    <col min="10761" max="10762" width="9.85546875" style="41" bestFit="1" customWidth="1"/>
    <col min="10763" max="11010" width="9.140625" style="41"/>
    <col min="11011" max="11011" width="47" style="41" customWidth="1"/>
    <col min="11012" max="11012" width="12.140625" style="41" bestFit="1" customWidth="1"/>
    <col min="11013" max="11013" width="1.5703125" style="41" customWidth="1"/>
    <col min="11014" max="11014" width="9.7109375" style="41" bestFit="1" customWidth="1"/>
    <col min="11015" max="11016" width="10" style="41" bestFit="1" customWidth="1"/>
    <col min="11017" max="11018" width="9.85546875" style="41" bestFit="1" customWidth="1"/>
    <col min="11019" max="11266" width="9.140625" style="41"/>
    <col min="11267" max="11267" width="47" style="41" customWidth="1"/>
    <col min="11268" max="11268" width="12.140625" style="41" bestFit="1" customWidth="1"/>
    <col min="11269" max="11269" width="1.5703125" style="41" customWidth="1"/>
    <col min="11270" max="11270" width="9.7109375" style="41" bestFit="1" customWidth="1"/>
    <col min="11271" max="11272" width="10" style="41" bestFit="1" customWidth="1"/>
    <col min="11273" max="11274" width="9.85546875" style="41" bestFit="1" customWidth="1"/>
    <col min="11275" max="11522" width="9.140625" style="41"/>
    <col min="11523" max="11523" width="47" style="41" customWidth="1"/>
    <col min="11524" max="11524" width="12.140625" style="41" bestFit="1" customWidth="1"/>
    <col min="11525" max="11525" width="1.5703125" style="41" customWidth="1"/>
    <col min="11526" max="11526" width="9.7109375" style="41" bestFit="1" customWidth="1"/>
    <col min="11527" max="11528" width="10" style="41" bestFit="1" customWidth="1"/>
    <col min="11529" max="11530" width="9.85546875" style="41" bestFit="1" customWidth="1"/>
    <col min="11531" max="11778" width="9.140625" style="41"/>
    <col min="11779" max="11779" width="47" style="41" customWidth="1"/>
    <col min="11780" max="11780" width="12.140625" style="41" bestFit="1" customWidth="1"/>
    <col min="11781" max="11781" width="1.5703125" style="41" customWidth="1"/>
    <col min="11782" max="11782" width="9.7109375" style="41" bestFit="1" customWidth="1"/>
    <col min="11783" max="11784" width="10" style="41" bestFit="1" customWidth="1"/>
    <col min="11785" max="11786" width="9.85546875" style="41" bestFit="1" customWidth="1"/>
    <col min="11787" max="12034" width="9.140625" style="41"/>
    <col min="12035" max="12035" width="47" style="41" customWidth="1"/>
    <col min="12036" max="12036" width="12.140625" style="41" bestFit="1" customWidth="1"/>
    <col min="12037" max="12037" width="1.5703125" style="41" customWidth="1"/>
    <col min="12038" max="12038" width="9.7109375" style="41" bestFit="1" customWidth="1"/>
    <col min="12039" max="12040" width="10" style="41" bestFit="1" customWidth="1"/>
    <col min="12041" max="12042" width="9.85546875" style="41" bestFit="1" customWidth="1"/>
    <col min="12043" max="12290" width="9.140625" style="41"/>
    <col min="12291" max="12291" width="47" style="41" customWidth="1"/>
    <col min="12292" max="12292" width="12.140625" style="41" bestFit="1" customWidth="1"/>
    <col min="12293" max="12293" width="1.5703125" style="41" customWidth="1"/>
    <col min="12294" max="12294" width="9.7109375" style="41" bestFit="1" customWidth="1"/>
    <col min="12295" max="12296" width="10" style="41" bestFit="1" customWidth="1"/>
    <col min="12297" max="12298" width="9.85546875" style="41" bestFit="1" customWidth="1"/>
    <col min="12299" max="12546" width="9.140625" style="41"/>
    <col min="12547" max="12547" width="47" style="41" customWidth="1"/>
    <col min="12548" max="12548" width="12.140625" style="41" bestFit="1" customWidth="1"/>
    <col min="12549" max="12549" width="1.5703125" style="41" customWidth="1"/>
    <col min="12550" max="12550" width="9.7109375" style="41" bestFit="1" customWidth="1"/>
    <col min="12551" max="12552" width="10" style="41" bestFit="1" customWidth="1"/>
    <col min="12553" max="12554" width="9.85546875" style="41" bestFit="1" customWidth="1"/>
    <col min="12555" max="12802" width="9.140625" style="41"/>
    <col min="12803" max="12803" width="47" style="41" customWidth="1"/>
    <col min="12804" max="12804" width="12.140625" style="41" bestFit="1" customWidth="1"/>
    <col min="12805" max="12805" width="1.5703125" style="41" customWidth="1"/>
    <col min="12806" max="12806" width="9.7109375" style="41" bestFit="1" customWidth="1"/>
    <col min="12807" max="12808" width="10" style="41" bestFit="1" customWidth="1"/>
    <col min="12809" max="12810" width="9.85546875" style="41" bestFit="1" customWidth="1"/>
    <col min="12811" max="13058" width="9.140625" style="41"/>
    <col min="13059" max="13059" width="47" style="41" customWidth="1"/>
    <col min="13060" max="13060" width="12.140625" style="41" bestFit="1" customWidth="1"/>
    <col min="13061" max="13061" width="1.5703125" style="41" customWidth="1"/>
    <col min="13062" max="13062" width="9.7109375" style="41" bestFit="1" customWidth="1"/>
    <col min="13063" max="13064" width="10" style="41" bestFit="1" customWidth="1"/>
    <col min="13065" max="13066" width="9.85546875" style="41" bestFit="1" customWidth="1"/>
    <col min="13067" max="13314" width="9.140625" style="41"/>
    <col min="13315" max="13315" width="47" style="41" customWidth="1"/>
    <col min="13316" max="13316" width="12.140625" style="41" bestFit="1" customWidth="1"/>
    <col min="13317" max="13317" width="1.5703125" style="41" customWidth="1"/>
    <col min="13318" max="13318" width="9.7109375" style="41" bestFit="1" customWidth="1"/>
    <col min="13319" max="13320" width="10" style="41" bestFit="1" customWidth="1"/>
    <col min="13321" max="13322" width="9.85546875" style="41" bestFit="1" customWidth="1"/>
    <col min="13323" max="13570" width="9.140625" style="41"/>
    <col min="13571" max="13571" width="47" style="41" customWidth="1"/>
    <col min="13572" max="13572" width="12.140625" style="41" bestFit="1" customWidth="1"/>
    <col min="13573" max="13573" width="1.5703125" style="41" customWidth="1"/>
    <col min="13574" max="13574" width="9.7109375" style="41" bestFit="1" customWidth="1"/>
    <col min="13575" max="13576" width="10" style="41" bestFit="1" customWidth="1"/>
    <col min="13577" max="13578" width="9.85546875" style="41" bestFit="1" customWidth="1"/>
    <col min="13579" max="13826" width="9.140625" style="41"/>
    <col min="13827" max="13827" width="47" style="41" customWidth="1"/>
    <col min="13828" max="13828" width="12.140625" style="41" bestFit="1" customWidth="1"/>
    <col min="13829" max="13829" width="1.5703125" style="41" customWidth="1"/>
    <col min="13830" max="13830" width="9.7109375" style="41" bestFit="1" customWidth="1"/>
    <col min="13831" max="13832" width="10" style="41" bestFit="1" customWidth="1"/>
    <col min="13833" max="13834" width="9.85546875" style="41" bestFit="1" customWidth="1"/>
    <col min="13835" max="14082" width="9.140625" style="41"/>
    <col min="14083" max="14083" width="47" style="41" customWidth="1"/>
    <col min="14084" max="14084" width="12.140625" style="41" bestFit="1" customWidth="1"/>
    <col min="14085" max="14085" width="1.5703125" style="41" customWidth="1"/>
    <col min="14086" max="14086" width="9.7109375" style="41" bestFit="1" customWidth="1"/>
    <col min="14087" max="14088" width="10" style="41" bestFit="1" customWidth="1"/>
    <col min="14089" max="14090" width="9.85546875" style="41" bestFit="1" customWidth="1"/>
    <col min="14091" max="14338" width="9.140625" style="41"/>
    <col min="14339" max="14339" width="47" style="41" customWidth="1"/>
    <col min="14340" max="14340" width="12.140625" style="41" bestFit="1" customWidth="1"/>
    <col min="14341" max="14341" width="1.5703125" style="41" customWidth="1"/>
    <col min="14342" max="14342" width="9.7109375" style="41" bestFit="1" customWidth="1"/>
    <col min="14343" max="14344" width="10" style="41" bestFit="1" customWidth="1"/>
    <col min="14345" max="14346" width="9.85546875" style="41" bestFit="1" customWidth="1"/>
    <col min="14347" max="14594" width="9.140625" style="41"/>
    <col min="14595" max="14595" width="47" style="41" customWidth="1"/>
    <col min="14596" max="14596" width="12.140625" style="41" bestFit="1" customWidth="1"/>
    <col min="14597" max="14597" width="1.5703125" style="41" customWidth="1"/>
    <col min="14598" max="14598" width="9.7109375" style="41" bestFit="1" customWidth="1"/>
    <col min="14599" max="14600" width="10" style="41" bestFit="1" customWidth="1"/>
    <col min="14601" max="14602" width="9.85546875" style="41" bestFit="1" customWidth="1"/>
    <col min="14603" max="14850" width="9.140625" style="41"/>
    <col min="14851" max="14851" width="47" style="41" customWidth="1"/>
    <col min="14852" max="14852" width="12.140625" style="41" bestFit="1" customWidth="1"/>
    <col min="14853" max="14853" width="1.5703125" style="41" customWidth="1"/>
    <col min="14854" max="14854" width="9.7109375" style="41" bestFit="1" customWidth="1"/>
    <col min="14855" max="14856" width="10" style="41" bestFit="1" customWidth="1"/>
    <col min="14857" max="14858" width="9.85546875" style="41" bestFit="1" customWidth="1"/>
    <col min="14859" max="15106" width="9.140625" style="41"/>
    <col min="15107" max="15107" width="47" style="41" customWidth="1"/>
    <col min="15108" max="15108" width="12.140625" style="41" bestFit="1" customWidth="1"/>
    <col min="15109" max="15109" width="1.5703125" style="41" customWidth="1"/>
    <col min="15110" max="15110" width="9.7109375" style="41" bestFit="1" customWidth="1"/>
    <col min="15111" max="15112" width="10" style="41" bestFit="1" customWidth="1"/>
    <col min="15113" max="15114" width="9.85546875" style="41" bestFit="1" customWidth="1"/>
    <col min="15115" max="15362" width="9.140625" style="41"/>
    <col min="15363" max="15363" width="47" style="41" customWidth="1"/>
    <col min="15364" max="15364" width="12.140625" style="41" bestFit="1" customWidth="1"/>
    <col min="15365" max="15365" width="1.5703125" style="41" customWidth="1"/>
    <col min="15366" max="15366" width="9.7109375" style="41" bestFit="1" customWidth="1"/>
    <col min="15367" max="15368" width="10" style="41" bestFit="1" customWidth="1"/>
    <col min="15369" max="15370" width="9.85546875" style="41" bestFit="1" customWidth="1"/>
    <col min="15371" max="15618" width="9.140625" style="41"/>
    <col min="15619" max="15619" width="47" style="41" customWidth="1"/>
    <col min="15620" max="15620" width="12.140625" style="41" bestFit="1" customWidth="1"/>
    <col min="15621" max="15621" width="1.5703125" style="41" customWidth="1"/>
    <col min="15622" max="15622" width="9.7109375" style="41" bestFit="1" customWidth="1"/>
    <col min="15623" max="15624" width="10" style="41" bestFit="1" customWidth="1"/>
    <col min="15625" max="15626" width="9.85546875" style="41" bestFit="1" customWidth="1"/>
    <col min="15627" max="15874" width="9.140625" style="41"/>
    <col min="15875" max="15875" width="47" style="41" customWidth="1"/>
    <col min="15876" max="15876" width="12.140625" style="41" bestFit="1" customWidth="1"/>
    <col min="15877" max="15877" width="1.5703125" style="41" customWidth="1"/>
    <col min="15878" max="15878" width="9.7109375" style="41" bestFit="1" customWidth="1"/>
    <col min="15879" max="15880" width="10" style="41" bestFit="1" customWidth="1"/>
    <col min="15881" max="15882" width="9.85546875" style="41" bestFit="1" customWidth="1"/>
    <col min="15883" max="16130" width="9.140625" style="41"/>
    <col min="16131" max="16131" width="47" style="41" customWidth="1"/>
    <col min="16132" max="16132" width="12.140625" style="41" bestFit="1" customWidth="1"/>
    <col min="16133" max="16133" width="1.5703125" style="41" customWidth="1"/>
    <col min="16134" max="16134" width="9.7109375" style="41" bestFit="1" customWidth="1"/>
    <col min="16135" max="16136" width="10" style="41" bestFit="1" customWidth="1"/>
    <col min="16137" max="16138" width="9.85546875" style="41" bestFit="1" customWidth="1"/>
    <col min="16139" max="16384" width="9.140625" style="41"/>
  </cols>
  <sheetData>
    <row r="1" spans="2:6" ht="13.5" thickBot="1" x14ac:dyDescent="0.25">
      <c r="B1" s="39" t="s">
        <v>81</v>
      </c>
      <c r="C1" s="39"/>
      <c r="D1" s="40"/>
    </row>
    <row r="2" spans="2:6" ht="13.5" thickTop="1" x14ac:dyDescent="0.2">
      <c r="B2" s="42"/>
      <c r="C2" s="60">
        <v>2017</v>
      </c>
      <c r="D2" s="43">
        <v>2016</v>
      </c>
    </row>
    <row r="3" spans="2:6" x14ac:dyDescent="0.2">
      <c r="B3" s="44" t="s">
        <v>82</v>
      </c>
      <c r="C3" s="52">
        <f>+Balanço!T3</f>
        <v>19262919.280000001</v>
      </c>
      <c r="D3" s="54">
        <f>+Balanço!W3</f>
        <v>11673307.039999999</v>
      </c>
    </row>
    <row r="4" spans="2:6" x14ac:dyDescent="0.2">
      <c r="B4" s="44" t="s">
        <v>83</v>
      </c>
      <c r="C4" s="52">
        <f>+Balanço!T4</f>
        <v>0</v>
      </c>
      <c r="D4" s="54">
        <f>+Balanço!W4</f>
        <v>0</v>
      </c>
    </row>
    <row r="5" spans="2:6" x14ac:dyDescent="0.2">
      <c r="B5" s="45" t="s">
        <v>84</v>
      </c>
      <c r="C5" s="53">
        <f>SUM(C3:C4)</f>
        <v>19262919.280000001</v>
      </c>
      <c r="D5" s="55">
        <f>SUM(D3:D4)</f>
        <v>11673307.039999999</v>
      </c>
      <c r="F5" s="46"/>
    </row>
    <row r="6" spans="2:6" x14ac:dyDescent="0.2">
      <c r="B6" s="44" t="s">
        <v>85</v>
      </c>
      <c r="C6" s="52">
        <f>+Balanço!T5</f>
        <v>1567771.69</v>
      </c>
      <c r="D6" s="54">
        <f>+Balanço!W5</f>
        <v>69150.31</v>
      </c>
    </row>
    <row r="7" spans="2:6" x14ac:dyDescent="0.2">
      <c r="B7" s="44" t="s">
        <v>86</v>
      </c>
      <c r="C7" s="52">
        <f>+Balanço!T6</f>
        <v>0</v>
      </c>
      <c r="D7" s="54">
        <f>+Balanço!W6</f>
        <v>0</v>
      </c>
    </row>
    <row r="8" spans="2:6" x14ac:dyDescent="0.2">
      <c r="B8" s="44" t="s">
        <v>87</v>
      </c>
      <c r="C8" s="52">
        <v>1163220.8999999999</v>
      </c>
      <c r="D8" s="54">
        <v>529591.93000000005</v>
      </c>
    </row>
    <row r="9" spans="2:6" s="47" customFormat="1" x14ac:dyDescent="0.2">
      <c r="B9" s="45" t="s">
        <v>88</v>
      </c>
      <c r="C9" s="53">
        <f>SUM(C5:C8)</f>
        <v>21993911.870000001</v>
      </c>
      <c r="D9" s="55">
        <f>SUM(D5:D8)</f>
        <v>12272049.279999999</v>
      </c>
    </row>
    <row r="10" spans="2:6" x14ac:dyDescent="0.2">
      <c r="B10" s="44" t="s">
        <v>89</v>
      </c>
      <c r="C10" s="52">
        <f>Balanço!T7</f>
        <v>-8868062</v>
      </c>
      <c r="D10" s="54">
        <f>Balanço!W7</f>
        <v>-2666136.15</v>
      </c>
    </row>
    <row r="11" spans="2:6" x14ac:dyDescent="0.2">
      <c r="B11" s="44" t="s">
        <v>90</v>
      </c>
      <c r="C11" s="52">
        <v>0</v>
      </c>
      <c r="D11" s="54">
        <v>0</v>
      </c>
    </row>
    <row r="12" spans="2:6" x14ac:dyDescent="0.2">
      <c r="B12" s="44" t="s">
        <v>91</v>
      </c>
      <c r="C12" s="52">
        <v>0</v>
      </c>
      <c r="D12" s="54">
        <v>0</v>
      </c>
    </row>
    <row r="13" spans="2:6" x14ac:dyDescent="0.2">
      <c r="B13" s="44" t="s">
        <v>92</v>
      </c>
      <c r="C13" s="52">
        <v>0</v>
      </c>
      <c r="D13" s="54">
        <v>0</v>
      </c>
    </row>
    <row r="14" spans="2:6" s="47" customFormat="1" x14ac:dyDescent="0.2">
      <c r="B14" s="45" t="s">
        <v>93</v>
      </c>
      <c r="C14" s="53">
        <f>SUM(C10:C13)</f>
        <v>-8868062</v>
      </c>
      <c r="D14" s="55">
        <f>SUM(D10:D13)</f>
        <v>-2666136.15</v>
      </c>
    </row>
    <row r="15" spans="2:6" s="47" customFormat="1" x14ac:dyDescent="0.2">
      <c r="B15" s="45" t="s">
        <v>94</v>
      </c>
      <c r="C15" s="53">
        <f>+C9+C14</f>
        <v>13125849.870000001</v>
      </c>
      <c r="D15" s="55">
        <f>+D9+D14</f>
        <v>9605913.129999999</v>
      </c>
    </row>
    <row r="16" spans="2:6" x14ac:dyDescent="0.2">
      <c r="B16" s="44" t="s">
        <v>95</v>
      </c>
      <c r="C16" s="52">
        <f>Balanço!T8-C11</f>
        <v>-3694571.46</v>
      </c>
      <c r="D16" s="54">
        <f>Balanço!W8-D11</f>
        <v>-3627121.24</v>
      </c>
    </row>
    <row r="17" spans="2:7" x14ac:dyDescent="0.2">
      <c r="B17" s="44" t="s">
        <v>96</v>
      </c>
      <c r="C17" s="52">
        <f>Balanço!T9</f>
        <v>-3873564.61</v>
      </c>
      <c r="D17" s="54">
        <f>Balanço!W9</f>
        <v>-3041754.1</v>
      </c>
    </row>
    <row r="18" spans="2:7" x14ac:dyDescent="0.2">
      <c r="B18" s="44" t="s">
        <v>97</v>
      </c>
      <c r="C18" s="52">
        <f>Balanço!T14-'Dem Res Cva (2)'!C12</f>
        <v>-232923.18</v>
      </c>
      <c r="D18" s="54">
        <f>Balanço!W14-'Dem Res Cva (2)'!D12</f>
        <v>-256399.64</v>
      </c>
    </row>
    <row r="19" spans="2:7" s="47" customFormat="1" x14ac:dyDescent="0.2">
      <c r="B19" s="45" t="s">
        <v>98</v>
      </c>
      <c r="C19" s="53">
        <f>SUM(C16:C18)</f>
        <v>-7801059.25</v>
      </c>
      <c r="D19" s="55">
        <f>SUM(D16:D18)</f>
        <v>-6925274.9799999995</v>
      </c>
    </row>
    <row r="20" spans="2:7" x14ac:dyDescent="0.2">
      <c r="B20" s="45" t="s">
        <v>99</v>
      </c>
      <c r="C20" s="53">
        <f>+C15+C19</f>
        <v>5324790.620000001</v>
      </c>
      <c r="D20" s="55">
        <f>+D15+D19</f>
        <v>2680638.1499999994</v>
      </c>
    </row>
    <row r="21" spans="2:7" x14ac:dyDescent="0.2">
      <c r="B21" s="44" t="s">
        <v>100</v>
      </c>
      <c r="C21" s="52">
        <f>+Balanço!T11</f>
        <v>200000</v>
      </c>
      <c r="D21" s="54">
        <f>+Balanço!W11</f>
        <v>0</v>
      </c>
    </row>
    <row r="22" spans="2:7" x14ac:dyDescent="0.2">
      <c r="B22" s="44" t="s">
        <v>101</v>
      </c>
      <c r="C22" s="52">
        <f>+Balanço!T16</f>
        <v>-1749536.9</v>
      </c>
      <c r="D22" s="54">
        <f>+Balanço!W16</f>
        <v>-1753234.33</v>
      </c>
    </row>
    <row r="23" spans="2:7" x14ac:dyDescent="0.2">
      <c r="B23" s="45" t="s">
        <v>102</v>
      </c>
      <c r="C23" s="53">
        <f>SUM(C20:C22)</f>
        <v>3775253.7200000011</v>
      </c>
      <c r="D23" s="55">
        <f>SUM(D20:D22)</f>
        <v>927403.81999999937</v>
      </c>
    </row>
    <row r="24" spans="2:7" x14ac:dyDescent="0.2">
      <c r="B24" s="44" t="s">
        <v>103</v>
      </c>
      <c r="C24" s="56">
        <v>0</v>
      </c>
      <c r="D24" s="57">
        <v>0</v>
      </c>
    </row>
    <row r="25" spans="2:7" s="47" customFormat="1" x14ac:dyDescent="0.2">
      <c r="B25" s="45" t="s">
        <v>104</v>
      </c>
      <c r="C25" s="53">
        <f>SUM(C23:C24)</f>
        <v>3775253.7200000011</v>
      </c>
      <c r="D25" s="55">
        <f>SUM(D23:D24)</f>
        <v>927403.81999999937</v>
      </c>
    </row>
    <row r="26" spans="2:7" s="47" customFormat="1" x14ac:dyDescent="0.2">
      <c r="B26" s="48" t="s">
        <v>105</v>
      </c>
      <c r="C26" s="56">
        <v>0</v>
      </c>
      <c r="D26" s="57">
        <v>0</v>
      </c>
    </row>
    <row r="27" spans="2:7" s="47" customFormat="1" x14ac:dyDescent="0.2">
      <c r="B27" s="48" t="s">
        <v>106</v>
      </c>
      <c r="C27" s="56">
        <f>Balanço!T20</f>
        <v>-559724.43000000005</v>
      </c>
      <c r="D27" s="57">
        <f>Balanço!W20</f>
        <v>-168547.92</v>
      </c>
    </row>
    <row r="28" spans="2:7" s="47" customFormat="1" x14ac:dyDescent="0.2">
      <c r="B28" s="45" t="s">
        <v>107</v>
      </c>
      <c r="C28" s="53">
        <f>SUM(C25:C27)</f>
        <v>3215529.290000001</v>
      </c>
      <c r="D28" s="55">
        <f>SUM(D25:D27)</f>
        <v>758855.89999999932</v>
      </c>
    </row>
    <row r="29" spans="2:7" x14ac:dyDescent="0.2">
      <c r="B29" s="44" t="s">
        <v>108</v>
      </c>
      <c r="C29" s="52">
        <f>Balanço!T10+Balanço!T12</f>
        <v>-136071.43</v>
      </c>
      <c r="D29" s="54">
        <f>Balanço!W10+Balanço!W12</f>
        <v>-253669.66999999998</v>
      </c>
    </row>
    <row r="30" spans="2:7" s="47" customFormat="1" x14ac:dyDescent="0.2">
      <c r="B30" s="45" t="s">
        <v>109</v>
      </c>
      <c r="C30" s="53">
        <f>SUM(C28:C29)</f>
        <v>3079457.8600000008</v>
      </c>
      <c r="D30" s="55">
        <f>SUM(D28:D29)</f>
        <v>505186.22999999934</v>
      </c>
      <c r="G30" s="47">
        <f>+D30-Balanço!W21</f>
        <v>0</v>
      </c>
    </row>
    <row r="31" spans="2:7" x14ac:dyDescent="0.2">
      <c r="B31" s="44" t="s">
        <v>110</v>
      </c>
      <c r="C31" s="52">
        <f>Balanço!T22</f>
        <v>-1082867.1200000001</v>
      </c>
      <c r="D31" s="54">
        <f>Balanço!W22</f>
        <v>-80297.009999999995</v>
      </c>
    </row>
    <row r="32" spans="2:7" s="47" customFormat="1" ht="13.5" thickBot="1" x14ac:dyDescent="0.25">
      <c r="B32" s="49" t="s">
        <v>111</v>
      </c>
      <c r="C32" s="58">
        <f>+C30+C31</f>
        <v>1996590.7400000007</v>
      </c>
      <c r="D32" s="59">
        <f>+D30+D31</f>
        <v>424889.21999999933</v>
      </c>
    </row>
    <row r="33" spans="2:4" ht="13.5" thickTop="1" x14ac:dyDescent="0.2">
      <c r="D33" s="50"/>
    </row>
    <row r="34" spans="2:4" x14ac:dyDescent="0.2">
      <c r="B34" s="41" t="s">
        <v>174</v>
      </c>
      <c r="C34" s="78">
        <f>-C31/C30</f>
        <v>0.35164212963122016</v>
      </c>
      <c r="D34" s="78">
        <f>-D31/D30</f>
        <v>0.15894536555361</v>
      </c>
    </row>
    <row r="35" spans="2:4" x14ac:dyDescent="0.2">
      <c r="B35" s="41" t="s">
        <v>132</v>
      </c>
      <c r="C35" s="41">
        <f>C32+C29*(1-C34)-C22-C21</f>
        <v>3457904.6574271661</v>
      </c>
      <c r="D35" s="41">
        <f>D32+D29*(1-D34)-D22-D21</f>
        <v>1964773.4984280129</v>
      </c>
    </row>
    <row r="36" spans="2:4" x14ac:dyDescent="0.2">
      <c r="D36" s="51"/>
    </row>
    <row r="37" spans="2:4" x14ac:dyDescent="0.2">
      <c r="D37" s="51"/>
    </row>
    <row r="38" spans="2:4" x14ac:dyDescent="0.2">
      <c r="D38" s="51"/>
    </row>
    <row r="39" spans="2:4" x14ac:dyDescent="0.2">
      <c r="D39" s="51"/>
    </row>
    <row r="40" spans="2:4" x14ac:dyDescent="0.2">
      <c r="D40" s="51"/>
    </row>
    <row r="41" spans="2:4" x14ac:dyDescent="0.2">
      <c r="D41" s="51"/>
    </row>
    <row r="42" spans="2:4" x14ac:dyDescent="0.2">
      <c r="D42" s="51"/>
    </row>
    <row r="43" spans="2:4" x14ac:dyDescent="0.2">
      <c r="D43" s="51"/>
    </row>
    <row r="44" spans="2:4" x14ac:dyDescent="0.2">
      <c r="D44" s="51"/>
    </row>
    <row r="45" spans="2:4" x14ac:dyDescent="0.2">
      <c r="D45" s="51"/>
    </row>
    <row r="46" spans="2:4" x14ac:dyDescent="0.2">
      <c r="D46" s="51"/>
    </row>
    <row r="47" spans="2:4" x14ac:dyDescent="0.2">
      <c r="D47" s="51"/>
    </row>
    <row r="48" spans="2:4" x14ac:dyDescent="0.2">
      <c r="D48" s="51"/>
    </row>
    <row r="49" spans="4:4" x14ac:dyDescent="0.2">
      <c r="D49" s="51"/>
    </row>
    <row r="50" spans="4:4" x14ac:dyDescent="0.2">
      <c r="D50" s="51"/>
    </row>
    <row r="51" spans="4:4" x14ac:dyDescent="0.2">
      <c r="D51" s="51"/>
    </row>
    <row r="52" spans="4:4" x14ac:dyDescent="0.2">
      <c r="D52" s="51"/>
    </row>
    <row r="53" spans="4:4" x14ac:dyDescent="0.2">
      <c r="D53" s="51"/>
    </row>
    <row r="54" spans="4:4" x14ac:dyDescent="0.2">
      <c r="D54" s="51"/>
    </row>
    <row r="55" spans="4:4" x14ac:dyDescent="0.2">
      <c r="D55" s="51"/>
    </row>
    <row r="56" spans="4:4" x14ac:dyDescent="0.2">
      <c r="D56" s="51"/>
    </row>
    <row r="57" spans="4:4" x14ac:dyDescent="0.2">
      <c r="D57" s="51"/>
    </row>
    <row r="58" spans="4:4" x14ac:dyDescent="0.2">
      <c r="D58" s="51"/>
    </row>
    <row r="59" spans="4:4" x14ac:dyDescent="0.2">
      <c r="D59" s="51"/>
    </row>
    <row r="60" spans="4:4" x14ac:dyDescent="0.2">
      <c r="D60" s="51"/>
    </row>
    <row r="61" spans="4:4" x14ac:dyDescent="0.2">
      <c r="D61" s="51"/>
    </row>
    <row r="62" spans="4:4" x14ac:dyDescent="0.2">
      <c r="D62" s="51"/>
    </row>
    <row r="63" spans="4:4" x14ac:dyDescent="0.2">
      <c r="D63" s="51"/>
    </row>
    <row r="64" spans="4:4" x14ac:dyDescent="0.2">
      <c r="D64" s="51"/>
    </row>
    <row r="65" spans="4:4" x14ac:dyDescent="0.2">
      <c r="D65" s="51"/>
    </row>
    <row r="66" spans="4:4" x14ac:dyDescent="0.2">
      <c r="D66" s="51"/>
    </row>
    <row r="67" spans="4:4" x14ac:dyDescent="0.2">
      <c r="D67" s="51"/>
    </row>
    <row r="68" spans="4:4" x14ac:dyDescent="0.2">
      <c r="D68" s="51"/>
    </row>
  </sheetData>
  <printOptions horizontalCentered="1"/>
  <pageMargins left="0.59055118110236227" right="0.59055118110236227" top="0.98425196850393704" bottom="0.98425196850393704" header="0.59055118110236227" footer="0"/>
  <pageSetup orientation="portrait" horizontalDpi="4294967295" verticalDpi="300" r:id="rId1"/>
  <headerFooter alignWithMargins="0">
    <oddHeader>&amp;L&amp;G&amp;C&amp;"Arial Narrow,Negrito"&amp;14SECIL - Companhia Geral de Cal e Cimento, S.A.&amp;RANEXO II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1"/>
  <sheetViews>
    <sheetView showGridLines="0" view="pageBreakPreview" topLeftCell="A21" zoomScaleNormal="100" workbookViewId="0">
      <selection activeCell="H27" sqref="H27"/>
    </sheetView>
  </sheetViews>
  <sheetFormatPr defaultRowHeight="12.75" x14ac:dyDescent="0.2"/>
  <cols>
    <col min="1" max="1" width="2.42578125" style="11" customWidth="1"/>
    <col min="2" max="2" width="39.5703125" style="11" customWidth="1"/>
    <col min="3" max="3" width="5" style="11" bestFit="1" customWidth="1"/>
    <col min="4" max="5" width="15.28515625" style="11" customWidth="1"/>
    <col min="6" max="6" width="9.7109375" style="11" bestFit="1" customWidth="1"/>
    <col min="7" max="8" width="8.85546875" style="11" bestFit="1" customWidth="1"/>
    <col min="9" max="9" width="9" style="11" bestFit="1" customWidth="1"/>
    <col min="10" max="254" width="9.140625" style="11"/>
    <col min="255" max="255" width="2.42578125" style="11" customWidth="1"/>
    <col min="256" max="256" width="39.5703125" style="11" customWidth="1"/>
    <col min="257" max="257" width="5" style="11" bestFit="1" customWidth="1"/>
    <col min="258" max="261" width="15.28515625" style="11" customWidth="1"/>
    <col min="262" max="262" width="9.7109375" style="11" bestFit="1" customWidth="1"/>
    <col min="263" max="264" width="8.85546875" style="11" bestFit="1" customWidth="1"/>
    <col min="265" max="265" width="9" style="11" bestFit="1" customWidth="1"/>
    <col min="266" max="510" width="9.140625" style="11"/>
    <col min="511" max="511" width="2.42578125" style="11" customWidth="1"/>
    <col min="512" max="512" width="39.5703125" style="11" customWidth="1"/>
    <col min="513" max="513" width="5" style="11" bestFit="1" customWidth="1"/>
    <col min="514" max="517" width="15.28515625" style="11" customWidth="1"/>
    <col min="518" max="518" width="9.7109375" style="11" bestFit="1" customWidth="1"/>
    <col min="519" max="520" width="8.85546875" style="11" bestFit="1" customWidth="1"/>
    <col min="521" max="521" width="9" style="11" bestFit="1" customWidth="1"/>
    <col min="522" max="766" width="9.140625" style="11"/>
    <col min="767" max="767" width="2.42578125" style="11" customWidth="1"/>
    <col min="768" max="768" width="39.5703125" style="11" customWidth="1"/>
    <col min="769" max="769" width="5" style="11" bestFit="1" customWidth="1"/>
    <col min="770" max="773" width="15.28515625" style="11" customWidth="1"/>
    <col min="774" max="774" width="9.7109375" style="11" bestFit="1" customWidth="1"/>
    <col min="775" max="776" width="8.85546875" style="11" bestFit="1" customWidth="1"/>
    <col min="777" max="777" width="9" style="11" bestFit="1" customWidth="1"/>
    <col min="778" max="1022" width="9.140625" style="11"/>
    <col min="1023" max="1023" width="2.42578125" style="11" customWidth="1"/>
    <col min="1024" max="1024" width="39.5703125" style="11" customWidth="1"/>
    <col min="1025" max="1025" width="5" style="11" bestFit="1" customWidth="1"/>
    <col min="1026" max="1029" width="15.28515625" style="11" customWidth="1"/>
    <col min="1030" max="1030" width="9.7109375" style="11" bestFit="1" customWidth="1"/>
    <col min="1031" max="1032" width="8.85546875" style="11" bestFit="1" customWidth="1"/>
    <col min="1033" max="1033" width="9" style="11" bestFit="1" customWidth="1"/>
    <col min="1034" max="1278" width="9.140625" style="11"/>
    <col min="1279" max="1279" width="2.42578125" style="11" customWidth="1"/>
    <col min="1280" max="1280" width="39.5703125" style="11" customWidth="1"/>
    <col min="1281" max="1281" width="5" style="11" bestFit="1" customWidth="1"/>
    <col min="1282" max="1285" width="15.28515625" style="11" customWidth="1"/>
    <col min="1286" max="1286" width="9.7109375" style="11" bestFit="1" customWidth="1"/>
    <col min="1287" max="1288" width="8.85546875" style="11" bestFit="1" customWidth="1"/>
    <col min="1289" max="1289" width="9" style="11" bestFit="1" customWidth="1"/>
    <col min="1290" max="1534" width="9.140625" style="11"/>
    <col min="1535" max="1535" width="2.42578125" style="11" customWidth="1"/>
    <col min="1536" max="1536" width="39.5703125" style="11" customWidth="1"/>
    <col min="1537" max="1537" width="5" style="11" bestFit="1" customWidth="1"/>
    <col min="1538" max="1541" width="15.28515625" style="11" customWidth="1"/>
    <col min="1542" max="1542" width="9.7109375" style="11" bestFit="1" customWidth="1"/>
    <col min="1543" max="1544" width="8.85546875" style="11" bestFit="1" customWidth="1"/>
    <col min="1545" max="1545" width="9" style="11" bestFit="1" customWidth="1"/>
    <col min="1546" max="1790" width="9.140625" style="11"/>
    <col min="1791" max="1791" width="2.42578125" style="11" customWidth="1"/>
    <col min="1792" max="1792" width="39.5703125" style="11" customWidth="1"/>
    <col min="1793" max="1793" width="5" style="11" bestFit="1" customWidth="1"/>
    <col min="1794" max="1797" width="15.28515625" style="11" customWidth="1"/>
    <col min="1798" max="1798" width="9.7109375" style="11" bestFit="1" customWidth="1"/>
    <col min="1799" max="1800" width="8.85546875" style="11" bestFit="1" customWidth="1"/>
    <col min="1801" max="1801" width="9" style="11" bestFit="1" customWidth="1"/>
    <col min="1802" max="2046" width="9.140625" style="11"/>
    <col min="2047" max="2047" width="2.42578125" style="11" customWidth="1"/>
    <col min="2048" max="2048" width="39.5703125" style="11" customWidth="1"/>
    <col min="2049" max="2049" width="5" style="11" bestFit="1" customWidth="1"/>
    <col min="2050" max="2053" width="15.28515625" style="11" customWidth="1"/>
    <col min="2054" max="2054" width="9.7109375" style="11" bestFit="1" customWidth="1"/>
    <col min="2055" max="2056" width="8.85546875" style="11" bestFit="1" customWidth="1"/>
    <col min="2057" max="2057" width="9" style="11" bestFit="1" customWidth="1"/>
    <col min="2058" max="2302" width="9.140625" style="11"/>
    <col min="2303" max="2303" width="2.42578125" style="11" customWidth="1"/>
    <col min="2304" max="2304" width="39.5703125" style="11" customWidth="1"/>
    <col min="2305" max="2305" width="5" style="11" bestFit="1" customWidth="1"/>
    <col min="2306" max="2309" width="15.28515625" style="11" customWidth="1"/>
    <col min="2310" max="2310" width="9.7109375" style="11" bestFit="1" customWidth="1"/>
    <col min="2311" max="2312" width="8.85546875" style="11" bestFit="1" customWidth="1"/>
    <col min="2313" max="2313" width="9" style="11" bestFit="1" customWidth="1"/>
    <col min="2314" max="2558" width="9.140625" style="11"/>
    <col min="2559" max="2559" width="2.42578125" style="11" customWidth="1"/>
    <col min="2560" max="2560" width="39.5703125" style="11" customWidth="1"/>
    <col min="2561" max="2561" width="5" style="11" bestFit="1" customWidth="1"/>
    <col min="2562" max="2565" width="15.28515625" style="11" customWidth="1"/>
    <col min="2566" max="2566" width="9.7109375" style="11" bestFit="1" customWidth="1"/>
    <col min="2567" max="2568" width="8.85546875" style="11" bestFit="1" customWidth="1"/>
    <col min="2569" max="2569" width="9" style="11" bestFit="1" customWidth="1"/>
    <col min="2570" max="2814" width="9.140625" style="11"/>
    <col min="2815" max="2815" width="2.42578125" style="11" customWidth="1"/>
    <col min="2816" max="2816" width="39.5703125" style="11" customWidth="1"/>
    <col min="2817" max="2817" width="5" style="11" bestFit="1" customWidth="1"/>
    <col min="2818" max="2821" width="15.28515625" style="11" customWidth="1"/>
    <col min="2822" max="2822" width="9.7109375" style="11" bestFit="1" customWidth="1"/>
    <col min="2823" max="2824" width="8.85546875" style="11" bestFit="1" customWidth="1"/>
    <col min="2825" max="2825" width="9" style="11" bestFit="1" customWidth="1"/>
    <col min="2826" max="3070" width="9.140625" style="11"/>
    <col min="3071" max="3071" width="2.42578125" style="11" customWidth="1"/>
    <col min="3072" max="3072" width="39.5703125" style="11" customWidth="1"/>
    <col min="3073" max="3073" width="5" style="11" bestFit="1" customWidth="1"/>
    <col min="3074" max="3077" width="15.28515625" style="11" customWidth="1"/>
    <col min="3078" max="3078" width="9.7109375" style="11" bestFit="1" customWidth="1"/>
    <col min="3079" max="3080" width="8.85546875" style="11" bestFit="1" customWidth="1"/>
    <col min="3081" max="3081" width="9" style="11" bestFit="1" customWidth="1"/>
    <col min="3082" max="3326" width="9.140625" style="11"/>
    <col min="3327" max="3327" width="2.42578125" style="11" customWidth="1"/>
    <col min="3328" max="3328" width="39.5703125" style="11" customWidth="1"/>
    <col min="3329" max="3329" width="5" style="11" bestFit="1" customWidth="1"/>
    <col min="3330" max="3333" width="15.28515625" style="11" customWidth="1"/>
    <col min="3334" max="3334" width="9.7109375" style="11" bestFit="1" customWidth="1"/>
    <col min="3335" max="3336" width="8.85546875" style="11" bestFit="1" customWidth="1"/>
    <col min="3337" max="3337" width="9" style="11" bestFit="1" customWidth="1"/>
    <col min="3338" max="3582" width="9.140625" style="11"/>
    <col min="3583" max="3583" width="2.42578125" style="11" customWidth="1"/>
    <col min="3584" max="3584" width="39.5703125" style="11" customWidth="1"/>
    <col min="3585" max="3585" width="5" style="11" bestFit="1" customWidth="1"/>
    <col min="3586" max="3589" width="15.28515625" style="11" customWidth="1"/>
    <col min="3590" max="3590" width="9.7109375" style="11" bestFit="1" customWidth="1"/>
    <col min="3591" max="3592" width="8.85546875" style="11" bestFit="1" customWidth="1"/>
    <col min="3593" max="3593" width="9" style="11" bestFit="1" customWidth="1"/>
    <col min="3594" max="3838" width="9.140625" style="11"/>
    <col min="3839" max="3839" width="2.42578125" style="11" customWidth="1"/>
    <col min="3840" max="3840" width="39.5703125" style="11" customWidth="1"/>
    <col min="3841" max="3841" width="5" style="11" bestFit="1" customWidth="1"/>
    <col min="3842" max="3845" width="15.28515625" style="11" customWidth="1"/>
    <col min="3846" max="3846" width="9.7109375" style="11" bestFit="1" customWidth="1"/>
    <col min="3847" max="3848" width="8.85546875" style="11" bestFit="1" customWidth="1"/>
    <col min="3849" max="3849" width="9" style="11" bestFit="1" customWidth="1"/>
    <col min="3850" max="4094" width="9.140625" style="11"/>
    <col min="4095" max="4095" width="2.42578125" style="11" customWidth="1"/>
    <col min="4096" max="4096" width="39.5703125" style="11" customWidth="1"/>
    <col min="4097" max="4097" width="5" style="11" bestFit="1" customWidth="1"/>
    <col min="4098" max="4101" width="15.28515625" style="11" customWidth="1"/>
    <col min="4102" max="4102" width="9.7109375" style="11" bestFit="1" customWidth="1"/>
    <col min="4103" max="4104" width="8.85546875" style="11" bestFit="1" customWidth="1"/>
    <col min="4105" max="4105" width="9" style="11" bestFit="1" customWidth="1"/>
    <col min="4106" max="4350" width="9.140625" style="11"/>
    <col min="4351" max="4351" width="2.42578125" style="11" customWidth="1"/>
    <col min="4352" max="4352" width="39.5703125" style="11" customWidth="1"/>
    <col min="4353" max="4353" width="5" style="11" bestFit="1" customWidth="1"/>
    <col min="4354" max="4357" width="15.28515625" style="11" customWidth="1"/>
    <col min="4358" max="4358" width="9.7109375" style="11" bestFit="1" customWidth="1"/>
    <col min="4359" max="4360" width="8.85546875" style="11" bestFit="1" customWidth="1"/>
    <col min="4361" max="4361" width="9" style="11" bestFit="1" customWidth="1"/>
    <col min="4362" max="4606" width="9.140625" style="11"/>
    <col min="4607" max="4607" width="2.42578125" style="11" customWidth="1"/>
    <col min="4608" max="4608" width="39.5703125" style="11" customWidth="1"/>
    <col min="4609" max="4609" width="5" style="11" bestFit="1" customWidth="1"/>
    <col min="4610" max="4613" width="15.28515625" style="11" customWidth="1"/>
    <col min="4614" max="4614" width="9.7109375" style="11" bestFit="1" customWidth="1"/>
    <col min="4615" max="4616" width="8.85546875" style="11" bestFit="1" customWidth="1"/>
    <col min="4617" max="4617" width="9" style="11" bestFit="1" customWidth="1"/>
    <col min="4618" max="4862" width="9.140625" style="11"/>
    <col min="4863" max="4863" width="2.42578125" style="11" customWidth="1"/>
    <col min="4864" max="4864" width="39.5703125" style="11" customWidth="1"/>
    <col min="4865" max="4865" width="5" style="11" bestFit="1" customWidth="1"/>
    <col min="4866" max="4869" width="15.28515625" style="11" customWidth="1"/>
    <col min="4870" max="4870" width="9.7109375" style="11" bestFit="1" customWidth="1"/>
    <col min="4871" max="4872" width="8.85546875" style="11" bestFit="1" customWidth="1"/>
    <col min="4873" max="4873" width="9" style="11" bestFit="1" customWidth="1"/>
    <col min="4874" max="5118" width="9.140625" style="11"/>
    <col min="5119" max="5119" width="2.42578125" style="11" customWidth="1"/>
    <col min="5120" max="5120" width="39.5703125" style="11" customWidth="1"/>
    <col min="5121" max="5121" width="5" style="11" bestFit="1" customWidth="1"/>
    <col min="5122" max="5125" width="15.28515625" style="11" customWidth="1"/>
    <col min="5126" max="5126" width="9.7109375" style="11" bestFit="1" customWidth="1"/>
    <col min="5127" max="5128" width="8.85546875" style="11" bestFit="1" customWidth="1"/>
    <col min="5129" max="5129" width="9" style="11" bestFit="1" customWidth="1"/>
    <col min="5130" max="5374" width="9.140625" style="11"/>
    <col min="5375" max="5375" width="2.42578125" style="11" customWidth="1"/>
    <col min="5376" max="5376" width="39.5703125" style="11" customWidth="1"/>
    <col min="5377" max="5377" width="5" style="11" bestFit="1" customWidth="1"/>
    <col min="5378" max="5381" width="15.28515625" style="11" customWidth="1"/>
    <col min="5382" max="5382" width="9.7109375" style="11" bestFit="1" customWidth="1"/>
    <col min="5383" max="5384" width="8.85546875" style="11" bestFit="1" customWidth="1"/>
    <col min="5385" max="5385" width="9" style="11" bestFit="1" customWidth="1"/>
    <col min="5386" max="5630" width="9.140625" style="11"/>
    <col min="5631" max="5631" width="2.42578125" style="11" customWidth="1"/>
    <col min="5632" max="5632" width="39.5703125" style="11" customWidth="1"/>
    <col min="5633" max="5633" width="5" style="11" bestFit="1" customWidth="1"/>
    <col min="5634" max="5637" width="15.28515625" style="11" customWidth="1"/>
    <col min="5638" max="5638" width="9.7109375" style="11" bestFit="1" customWidth="1"/>
    <col min="5639" max="5640" width="8.85546875" style="11" bestFit="1" customWidth="1"/>
    <col min="5641" max="5641" width="9" style="11" bestFit="1" customWidth="1"/>
    <col min="5642" max="5886" width="9.140625" style="11"/>
    <col min="5887" max="5887" width="2.42578125" style="11" customWidth="1"/>
    <col min="5888" max="5888" width="39.5703125" style="11" customWidth="1"/>
    <col min="5889" max="5889" width="5" style="11" bestFit="1" customWidth="1"/>
    <col min="5890" max="5893" width="15.28515625" style="11" customWidth="1"/>
    <col min="5894" max="5894" width="9.7109375" style="11" bestFit="1" customWidth="1"/>
    <col min="5895" max="5896" width="8.85546875" style="11" bestFit="1" customWidth="1"/>
    <col min="5897" max="5897" width="9" style="11" bestFit="1" customWidth="1"/>
    <col min="5898" max="6142" width="9.140625" style="11"/>
    <col min="6143" max="6143" width="2.42578125" style="11" customWidth="1"/>
    <col min="6144" max="6144" width="39.5703125" style="11" customWidth="1"/>
    <col min="6145" max="6145" width="5" style="11" bestFit="1" customWidth="1"/>
    <col min="6146" max="6149" width="15.28515625" style="11" customWidth="1"/>
    <col min="6150" max="6150" width="9.7109375" style="11" bestFit="1" customWidth="1"/>
    <col min="6151" max="6152" width="8.85546875" style="11" bestFit="1" customWidth="1"/>
    <col min="6153" max="6153" width="9" style="11" bestFit="1" customWidth="1"/>
    <col min="6154" max="6398" width="9.140625" style="11"/>
    <col min="6399" max="6399" width="2.42578125" style="11" customWidth="1"/>
    <col min="6400" max="6400" width="39.5703125" style="11" customWidth="1"/>
    <col min="6401" max="6401" width="5" style="11" bestFit="1" customWidth="1"/>
    <col min="6402" max="6405" width="15.28515625" style="11" customWidth="1"/>
    <col min="6406" max="6406" width="9.7109375" style="11" bestFit="1" customWidth="1"/>
    <col min="6407" max="6408" width="8.85546875" style="11" bestFit="1" customWidth="1"/>
    <col min="6409" max="6409" width="9" style="11" bestFit="1" customWidth="1"/>
    <col min="6410" max="6654" width="9.140625" style="11"/>
    <col min="6655" max="6655" width="2.42578125" style="11" customWidth="1"/>
    <col min="6656" max="6656" width="39.5703125" style="11" customWidth="1"/>
    <col min="6657" max="6657" width="5" style="11" bestFit="1" customWidth="1"/>
    <col min="6658" max="6661" width="15.28515625" style="11" customWidth="1"/>
    <col min="6662" max="6662" width="9.7109375" style="11" bestFit="1" customWidth="1"/>
    <col min="6663" max="6664" width="8.85546875" style="11" bestFit="1" customWidth="1"/>
    <col min="6665" max="6665" width="9" style="11" bestFit="1" customWidth="1"/>
    <col min="6666" max="6910" width="9.140625" style="11"/>
    <col min="6911" max="6911" width="2.42578125" style="11" customWidth="1"/>
    <col min="6912" max="6912" width="39.5703125" style="11" customWidth="1"/>
    <col min="6913" max="6913" width="5" style="11" bestFit="1" customWidth="1"/>
    <col min="6914" max="6917" width="15.28515625" style="11" customWidth="1"/>
    <col min="6918" max="6918" width="9.7109375" style="11" bestFit="1" customWidth="1"/>
    <col min="6919" max="6920" width="8.85546875" style="11" bestFit="1" customWidth="1"/>
    <col min="6921" max="6921" width="9" style="11" bestFit="1" customWidth="1"/>
    <col min="6922" max="7166" width="9.140625" style="11"/>
    <col min="7167" max="7167" width="2.42578125" style="11" customWidth="1"/>
    <col min="7168" max="7168" width="39.5703125" style="11" customWidth="1"/>
    <col min="7169" max="7169" width="5" style="11" bestFit="1" customWidth="1"/>
    <col min="7170" max="7173" width="15.28515625" style="11" customWidth="1"/>
    <col min="7174" max="7174" width="9.7109375" style="11" bestFit="1" customWidth="1"/>
    <col min="7175" max="7176" width="8.85546875" style="11" bestFit="1" customWidth="1"/>
    <col min="7177" max="7177" width="9" style="11" bestFit="1" customWidth="1"/>
    <col min="7178" max="7422" width="9.140625" style="11"/>
    <col min="7423" max="7423" width="2.42578125" style="11" customWidth="1"/>
    <col min="7424" max="7424" width="39.5703125" style="11" customWidth="1"/>
    <col min="7425" max="7425" width="5" style="11" bestFit="1" customWidth="1"/>
    <col min="7426" max="7429" width="15.28515625" style="11" customWidth="1"/>
    <col min="7430" max="7430" width="9.7109375" style="11" bestFit="1" customWidth="1"/>
    <col min="7431" max="7432" width="8.85546875" style="11" bestFit="1" customWidth="1"/>
    <col min="7433" max="7433" width="9" style="11" bestFit="1" customWidth="1"/>
    <col min="7434" max="7678" width="9.140625" style="11"/>
    <col min="7679" max="7679" width="2.42578125" style="11" customWidth="1"/>
    <col min="7680" max="7680" width="39.5703125" style="11" customWidth="1"/>
    <col min="7681" max="7681" width="5" style="11" bestFit="1" customWidth="1"/>
    <col min="7682" max="7685" width="15.28515625" style="11" customWidth="1"/>
    <col min="7686" max="7686" width="9.7109375" style="11" bestFit="1" customWidth="1"/>
    <col min="7687" max="7688" width="8.85546875" style="11" bestFit="1" customWidth="1"/>
    <col min="7689" max="7689" width="9" style="11" bestFit="1" customWidth="1"/>
    <col min="7690" max="7934" width="9.140625" style="11"/>
    <col min="7935" max="7935" width="2.42578125" style="11" customWidth="1"/>
    <col min="7936" max="7936" width="39.5703125" style="11" customWidth="1"/>
    <col min="7937" max="7937" width="5" style="11" bestFit="1" customWidth="1"/>
    <col min="7938" max="7941" width="15.28515625" style="11" customWidth="1"/>
    <col min="7942" max="7942" width="9.7109375" style="11" bestFit="1" customWidth="1"/>
    <col min="7943" max="7944" width="8.85546875" style="11" bestFit="1" customWidth="1"/>
    <col min="7945" max="7945" width="9" style="11" bestFit="1" customWidth="1"/>
    <col min="7946" max="8190" width="9.140625" style="11"/>
    <col min="8191" max="8191" width="2.42578125" style="11" customWidth="1"/>
    <col min="8192" max="8192" width="39.5703125" style="11" customWidth="1"/>
    <col min="8193" max="8193" width="5" style="11" bestFit="1" customWidth="1"/>
    <col min="8194" max="8197" width="15.28515625" style="11" customWidth="1"/>
    <col min="8198" max="8198" width="9.7109375" style="11" bestFit="1" customWidth="1"/>
    <col min="8199" max="8200" width="8.85546875" style="11" bestFit="1" customWidth="1"/>
    <col min="8201" max="8201" width="9" style="11" bestFit="1" customWidth="1"/>
    <col min="8202" max="8446" width="9.140625" style="11"/>
    <col min="8447" max="8447" width="2.42578125" style="11" customWidth="1"/>
    <col min="8448" max="8448" width="39.5703125" style="11" customWidth="1"/>
    <col min="8449" max="8449" width="5" style="11" bestFit="1" customWidth="1"/>
    <col min="8450" max="8453" width="15.28515625" style="11" customWidth="1"/>
    <col min="8454" max="8454" width="9.7109375" style="11" bestFit="1" customWidth="1"/>
    <col min="8455" max="8456" width="8.85546875" style="11" bestFit="1" customWidth="1"/>
    <col min="8457" max="8457" width="9" style="11" bestFit="1" customWidth="1"/>
    <col min="8458" max="8702" width="9.140625" style="11"/>
    <col min="8703" max="8703" width="2.42578125" style="11" customWidth="1"/>
    <col min="8704" max="8704" width="39.5703125" style="11" customWidth="1"/>
    <col min="8705" max="8705" width="5" style="11" bestFit="1" customWidth="1"/>
    <col min="8706" max="8709" width="15.28515625" style="11" customWidth="1"/>
    <col min="8710" max="8710" width="9.7109375" style="11" bestFit="1" customWidth="1"/>
    <col min="8711" max="8712" width="8.85546875" style="11" bestFit="1" customWidth="1"/>
    <col min="8713" max="8713" width="9" style="11" bestFit="1" customWidth="1"/>
    <col min="8714" max="8958" width="9.140625" style="11"/>
    <col min="8959" max="8959" width="2.42578125" style="11" customWidth="1"/>
    <col min="8960" max="8960" width="39.5703125" style="11" customWidth="1"/>
    <col min="8961" max="8961" width="5" style="11" bestFit="1" customWidth="1"/>
    <col min="8962" max="8965" width="15.28515625" style="11" customWidth="1"/>
    <col min="8966" max="8966" width="9.7109375" style="11" bestFit="1" customWidth="1"/>
    <col min="8967" max="8968" width="8.85546875" style="11" bestFit="1" customWidth="1"/>
    <col min="8969" max="8969" width="9" style="11" bestFit="1" customWidth="1"/>
    <col min="8970" max="9214" width="9.140625" style="11"/>
    <col min="9215" max="9215" width="2.42578125" style="11" customWidth="1"/>
    <col min="9216" max="9216" width="39.5703125" style="11" customWidth="1"/>
    <col min="9217" max="9217" width="5" style="11" bestFit="1" customWidth="1"/>
    <col min="9218" max="9221" width="15.28515625" style="11" customWidth="1"/>
    <col min="9222" max="9222" width="9.7109375" style="11" bestFit="1" customWidth="1"/>
    <col min="9223" max="9224" width="8.85546875" style="11" bestFit="1" customWidth="1"/>
    <col min="9225" max="9225" width="9" style="11" bestFit="1" customWidth="1"/>
    <col min="9226" max="9470" width="9.140625" style="11"/>
    <col min="9471" max="9471" width="2.42578125" style="11" customWidth="1"/>
    <col min="9472" max="9472" width="39.5703125" style="11" customWidth="1"/>
    <col min="9473" max="9473" width="5" style="11" bestFit="1" customWidth="1"/>
    <col min="9474" max="9477" width="15.28515625" style="11" customWidth="1"/>
    <col min="9478" max="9478" width="9.7109375" style="11" bestFit="1" customWidth="1"/>
    <col min="9479" max="9480" width="8.85546875" style="11" bestFit="1" customWidth="1"/>
    <col min="9481" max="9481" width="9" style="11" bestFit="1" customWidth="1"/>
    <col min="9482" max="9726" width="9.140625" style="11"/>
    <col min="9727" max="9727" width="2.42578125" style="11" customWidth="1"/>
    <col min="9728" max="9728" width="39.5703125" style="11" customWidth="1"/>
    <col min="9729" max="9729" width="5" style="11" bestFit="1" customWidth="1"/>
    <col min="9730" max="9733" width="15.28515625" style="11" customWidth="1"/>
    <col min="9734" max="9734" width="9.7109375" style="11" bestFit="1" customWidth="1"/>
    <col min="9735" max="9736" width="8.85546875" style="11" bestFit="1" customWidth="1"/>
    <col min="9737" max="9737" width="9" style="11" bestFit="1" customWidth="1"/>
    <col min="9738" max="9982" width="9.140625" style="11"/>
    <col min="9983" max="9983" width="2.42578125" style="11" customWidth="1"/>
    <col min="9984" max="9984" width="39.5703125" style="11" customWidth="1"/>
    <col min="9985" max="9985" width="5" style="11" bestFit="1" customWidth="1"/>
    <col min="9986" max="9989" width="15.28515625" style="11" customWidth="1"/>
    <col min="9990" max="9990" width="9.7109375" style="11" bestFit="1" customWidth="1"/>
    <col min="9991" max="9992" width="8.85546875" style="11" bestFit="1" customWidth="1"/>
    <col min="9993" max="9993" width="9" style="11" bestFit="1" customWidth="1"/>
    <col min="9994" max="10238" width="9.140625" style="11"/>
    <col min="10239" max="10239" width="2.42578125" style="11" customWidth="1"/>
    <col min="10240" max="10240" width="39.5703125" style="11" customWidth="1"/>
    <col min="10241" max="10241" width="5" style="11" bestFit="1" customWidth="1"/>
    <col min="10242" max="10245" width="15.28515625" style="11" customWidth="1"/>
    <col min="10246" max="10246" width="9.7109375" style="11" bestFit="1" customWidth="1"/>
    <col min="10247" max="10248" width="8.85546875" style="11" bestFit="1" customWidth="1"/>
    <col min="10249" max="10249" width="9" style="11" bestFit="1" customWidth="1"/>
    <col min="10250" max="10494" width="9.140625" style="11"/>
    <col min="10495" max="10495" width="2.42578125" style="11" customWidth="1"/>
    <col min="10496" max="10496" width="39.5703125" style="11" customWidth="1"/>
    <col min="10497" max="10497" width="5" style="11" bestFit="1" customWidth="1"/>
    <col min="10498" max="10501" width="15.28515625" style="11" customWidth="1"/>
    <col min="10502" max="10502" width="9.7109375" style="11" bestFit="1" customWidth="1"/>
    <col min="10503" max="10504" width="8.85546875" style="11" bestFit="1" customWidth="1"/>
    <col min="10505" max="10505" width="9" style="11" bestFit="1" customWidth="1"/>
    <col min="10506" max="10750" width="9.140625" style="11"/>
    <col min="10751" max="10751" width="2.42578125" style="11" customWidth="1"/>
    <col min="10752" max="10752" width="39.5703125" style="11" customWidth="1"/>
    <col min="10753" max="10753" width="5" style="11" bestFit="1" customWidth="1"/>
    <col min="10754" max="10757" width="15.28515625" style="11" customWidth="1"/>
    <col min="10758" max="10758" width="9.7109375" style="11" bestFit="1" customWidth="1"/>
    <col min="10759" max="10760" width="8.85546875" style="11" bestFit="1" customWidth="1"/>
    <col min="10761" max="10761" width="9" style="11" bestFit="1" customWidth="1"/>
    <col min="10762" max="11006" width="9.140625" style="11"/>
    <col min="11007" max="11007" width="2.42578125" style="11" customWidth="1"/>
    <col min="11008" max="11008" width="39.5703125" style="11" customWidth="1"/>
    <col min="11009" max="11009" width="5" style="11" bestFit="1" customWidth="1"/>
    <col min="11010" max="11013" width="15.28515625" style="11" customWidth="1"/>
    <col min="11014" max="11014" width="9.7109375" style="11" bestFit="1" customWidth="1"/>
    <col min="11015" max="11016" width="8.85546875" style="11" bestFit="1" customWidth="1"/>
    <col min="11017" max="11017" width="9" style="11" bestFit="1" customWidth="1"/>
    <col min="11018" max="11262" width="9.140625" style="11"/>
    <col min="11263" max="11263" width="2.42578125" style="11" customWidth="1"/>
    <col min="11264" max="11264" width="39.5703125" style="11" customWidth="1"/>
    <col min="11265" max="11265" width="5" style="11" bestFit="1" customWidth="1"/>
    <col min="11266" max="11269" width="15.28515625" style="11" customWidth="1"/>
    <col min="11270" max="11270" width="9.7109375" style="11" bestFit="1" customWidth="1"/>
    <col min="11271" max="11272" width="8.85546875" style="11" bestFit="1" customWidth="1"/>
    <col min="11273" max="11273" width="9" style="11" bestFit="1" customWidth="1"/>
    <col min="11274" max="11518" width="9.140625" style="11"/>
    <col min="11519" max="11519" width="2.42578125" style="11" customWidth="1"/>
    <col min="11520" max="11520" width="39.5703125" style="11" customWidth="1"/>
    <col min="11521" max="11521" width="5" style="11" bestFit="1" customWidth="1"/>
    <col min="11522" max="11525" width="15.28515625" style="11" customWidth="1"/>
    <col min="11526" max="11526" width="9.7109375" style="11" bestFit="1" customWidth="1"/>
    <col min="11527" max="11528" width="8.85546875" style="11" bestFit="1" customWidth="1"/>
    <col min="11529" max="11529" width="9" style="11" bestFit="1" customWidth="1"/>
    <col min="11530" max="11774" width="9.140625" style="11"/>
    <col min="11775" max="11775" width="2.42578125" style="11" customWidth="1"/>
    <col min="11776" max="11776" width="39.5703125" style="11" customWidth="1"/>
    <col min="11777" max="11777" width="5" style="11" bestFit="1" customWidth="1"/>
    <col min="11778" max="11781" width="15.28515625" style="11" customWidth="1"/>
    <col min="11782" max="11782" width="9.7109375" style="11" bestFit="1" customWidth="1"/>
    <col min="11783" max="11784" width="8.85546875" style="11" bestFit="1" customWidth="1"/>
    <col min="11785" max="11785" width="9" style="11" bestFit="1" customWidth="1"/>
    <col min="11786" max="12030" width="9.140625" style="11"/>
    <col min="12031" max="12031" width="2.42578125" style="11" customWidth="1"/>
    <col min="12032" max="12032" width="39.5703125" style="11" customWidth="1"/>
    <col min="12033" max="12033" width="5" style="11" bestFit="1" customWidth="1"/>
    <col min="12034" max="12037" width="15.28515625" style="11" customWidth="1"/>
    <col min="12038" max="12038" width="9.7109375" style="11" bestFit="1" customWidth="1"/>
    <col min="12039" max="12040" width="8.85546875" style="11" bestFit="1" customWidth="1"/>
    <col min="12041" max="12041" width="9" style="11" bestFit="1" customWidth="1"/>
    <col min="12042" max="12286" width="9.140625" style="11"/>
    <col min="12287" max="12287" width="2.42578125" style="11" customWidth="1"/>
    <col min="12288" max="12288" width="39.5703125" style="11" customWidth="1"/>
    <col min="12289" max="12289" width="5" style="11" bestFit="1" customWidth="1"/>
    <col min="12290" max="12293" width="15.28515625" style="11" customWidth="1"/>
    <col min="12294" max="12294" width="9.7109375" style="11" bestFit="1" customWidth="1"/>
    <col min="12295" max="12296" width="8.85546875" style="11" bestFit="1" customWidth="1"/>
    <col min="12297" max="12297" width="9" style="11" bestFit="1" customWidth="1"/>
    <col min="12298" max="12542" width="9.140625" style="11"/>
    <col min="12543" max="12543" width="2.42578125" style="11" customWidth="1"/>
    <col min="12544" max="12544" width="39.5703125" style="11" customWidth="1"/>
    <col min="12545" max="12545" width="5" style="11" bestFit="1" customWidth="1"/>
    <col min="12546" max="12549" width="15.28515625" style="11" customWidth="1"/>
    <col min="12550" max="12550" width="9.7109375" style="11" bestFit="1" customWidth="1"/>
    <col min="12551" max="12552" width="8.85546875" style="11" bestFit="1" customWidth="1"/>
    <col min="12553" max="12553" width="9" style="11" bestFit="1" customWidth="1"/>
    <col min="12554" max="12798" width="9.140625" style="11"/>
    <col min="12799" max="12799" width="2.42578125" style="11" customWidth="1"/>
    <col min="12800" max="12800" width="39.5703125" style="11" customWidth="1"/>
    <col min="12801" max="12801" width="5" style="11" bestFit="1" customWidth="1"/>
    <col min="12802" max="12805" width="15.28515625" style="11" customWidth="1"/>
    <col min="12806" max="12806" width="9.7109375" style="11" bestFit="1" customWidth="1"/>
    <col min="12807" max="12808" width="8.85546875" style="11" bestFit="1" customWidth="1"/>
    <col min="12809" max="12809" width="9" style="11" bestFit="1" customWidth="1"/>
    <col min="12810" max="13054" width="9.140625" style="11"/>
    <col min="13055" max="13055" width="2.42578125" style="11" customWidth="1"/>
    <col min="13056" max="13056" width="39.5703125" style="11" customWidth="1"/>
    <col min="13057" max="13057" width="5" style="11" bestFit="1" customWidth="1"/>
    <col min="13058" max="13061" width="15.28515625" style="11" customWidth="1"/>
    <col min="13062" max="13062" width="9.7109375" style="11" bestFit="1" customWidth="1"/>
    <col min="13063" max="13064" width="8.85546875" style="11" bestFit="1" customWidth="1"/>
    <col min="13065" max="13065" width="9" style="11" bestFit="1" customWidth="1"/>
    <col min="13066" max="13310" width="9.140625" style="11"/>
    <col min="13311" max="13311" width="2.42578125" style="11" customWidth="1"/>
    <col min="13312" max="13312" width="39.5703125" style="11" customWidth="1"/>
    <col min="13313" max="13313" width="5" style="11" bestFit="1" customWidth="1"/>
    <col min="13314" max="13317" width="15.28515625" style="11" customWidth="1"/>
    <col min="13318" max="13318" width="9.7109375" style="11" bestFit="1" customWidth="1"/>
    <col min="13319" max="13320" width="8.85546875" style="11" bestFit="1" customWidth="1"/>
    <col min="13321" max="13321" width="9" style="11" bestFit="1" customWidth="1"/>
    <col min="13322" max="13566" width="9.140625" style="11"/>
    <col min="13567" max="13567" width="2.42578125" style="11" customWidth="1"/>
    <col min="13568" max="13568" width="39.5703125" style="11" customWidth="1"/>
    <col min="13569" max="13569" width="5" style="11" bestFit="1" customWidth="1"/>
    <col min="13570" max="13573" width="15.28515625" style="11" customWidth="1"/>
    <col min="13574" max="13574" width="9.7109375" style="11" bestFit="1" customWidth="1"/>
    <col min="13575" max="13576" width="8.85546875" style="11" bestFit="1" customWidth="1"/>
    <col min="13577" max="13577" width="9" style="11" bestFit="1" customWidth="1"/>
    <col min="13578" max="13822" width="9.140625" style="11"/>
    <col min="13823" max="13823" width="2.42578125" style="11" customWidth="1"/>
    <col min="13824" max="13824" width="39.5703125" style="11" customWidth="1"/>
    <col min="13825" max="13825" width="5" style="11" bestFit="1" customWidth="1"/>
    <col min="13826" max="13829" width="15.28515625" style="11" customWidth="1"/>
    <col min="13830" max="13830" width="9.7109375" style="11" bestFit="1" customWidth="1"/>
    <col min="13831" max="13832" width="8.85546875" style="11" bestFit="1" customWidth="1"/>
    <col min="13833" max="13833" width="9" style="11" bestFit="1" customWidth="1"/>
    <col min="13834" max="14078" width="9.140625" style="11"/>
    <col min="14079" max="14079" width="2.42578125" style="11" customWidth="1"/>
    <col min="14080" max="14080" width="39.5703125" style="11" customWidth="1"/>
    <col min="14081" max="14081" width="5" style="11" bestFit="1" customWidth="1"/>
    <col min="14082" max="14085" width="15.28515625" style="11" customWidth="1"/>
    <col min="14086" max="14086" width="9.7109375" style="11" bestFit="1" customWidth="1"/>
    <col min="14087" max="14088" width="8.85546875" style="11" bestFit="1" customWidth="1"/>
    <col min="14089" max="14089" width="9" style="11" bestFit="1" customWidth="1"/>
    <col min="14090" max="14334" width="9.140625" style="11"/>
    <col min="14335" max="14335" width="2.42578125" style="11" customWidth="1"/>
    <col min="14336" max="14336" width="39.5703125" style="11" customWidth="1"/>
    <col min="14337" max="14337" width="5" style="11" bestFit="1" customWidth="1"/>
    <col min="14338" max="14341" width="15.28515625" style="11" customWidth="1"/>
    <col min="14342" max="14342" width="9.7109375" style="11" bestFit="1" customWidth="1"/>
    <col min="14343" max="14344" width="8.85546875" style="11" bestFit="1" customWidth="1"/>
    <col min="14345" max="14345" width="9" style="11" bestFit="1" customWidth="1"/>
    <col min="14346" max="14590" width="9.140625" style="11"/>
    <col min="14591" max="14591" width="2.42578125" style="11" customWidth="1"/>
    <col min="14592" max="14592" width="39.5703125" style="11" customWidth="1"/>
    <col min="14593" max="14593" width="5" style="11" bestFit="1" customWidth="1"/>
    <col min="14594" max="14597" width="15.28515625" style="11" customWidth="1"/>
    <col min="14598" max="14598" width="9.7109375" style="11" bestFit="1" customWidth="1"/>
    <col min="14599" max="14600" width="8.85546875" style="11" bestFit="1" customWidth="1"/>
    <col min="14601" max="14601" width="9" style="11" bestFit="1" customWidth="1"/>
    <col min="14602" max="14846" width="9.140625" style="11"/>
    <col min="14847" max="14847" width="2.42578125" style="11" customWidth="1"/>
    <col min="14848" max="14848" width="39.5703125" style="11" customWidth="1"/>
    <col min="14849" max="14849" width="5" style="11" bestFit="1" customWidth="1"/>
    <col min="14850" max="14853" width="15.28515625" style="11" customWidth="1"/>
    <col min="14854" max="14854" width="9.7109375" style="11" bestFit="1" customWidth="1"/>
    <col min="14855" max="14856" width="8.85546875" style="11" bestFit="1" customWidth="1"/>
    <col min="14857" max="14857" width="9" style="11" bestFit="1" customWidth="1"/>
    <col min="14858" max="15102" width="9.140625" style="11"/>
    <col min="15103" max="15103" width="2.42578125" style="11" customWidth="1"/>
    <col min="15104" max="15104" width="39.5703125" style="11" customWidth="1"/>
    <col min="15105" max="15105" width="5" style="11" bestFit="1" customWidth="1"/>
    <col min="15106" max="15109" width="15.28515625" style="11" customWidth="1"/>
    <col min="15110" max="15110" width="9.7109375" style="11" bestFit="1" customWidth="1"/>
    <col min="15111" max="15112" width="8.85546875" style="11" bestFit="1" customWidth="1"/>
    <col min="15113" max="15113" width="9" style="11" bestFit="1" customWidth="1"/>
    <col min="15114" max="15358" width="9.140625" style="11"/>
    <col min="15359" max="15359" width="2.42578125" style="11" customWidth="1"/>
    <col min="15360" max="15360" width="39.5703125" style="11" customWidth="1"/>
    <col min="15361" max="15361" width="5" style="11" bestFit="1" customWidth="1"/>
    <col min="15362" max="15365" width="15.28515625" style="11" customWidth="1"/>
    <col min="15366" max="15366" width="9.7109375" style="11" bestFit="1" customWidth="1"/>
    <col min="15367" max="15368" width="8.85546875" style="11" bestFit="1" customWidth="1"/>
    <col min="15369" max="15369" width="9" style="11" bestFit="1" customWidth="1"/>
    <col min="15370" max="15614" width="9.140625" style="11"/>
    <col min="15615" max="15615" width="2.42578125" style="11" customWidth="1"/>
    <col min="15616" max="15616" width="39.5703125" style="11" customWidth="1"/>
    <col min="15617" max="15617" width="5" style="11" bestFit="1" customWidth="1"/>
    <col min="15618" max="15621" width="15.28515625" style="11" customWidth="1"/>
    <col min="15622" max="15622" width="9.7109375" style="11" bestFit="1" customWidth="1"/>
    <col min="15623" max="15624" width="8.85546875" style="11" bestFit="1" customWidth="1"/>
    <col min="15625" max="15625" width="9" style="11" bestFit="1" customWidth="1"/>
    <col min="15626" max="15870" width="9.140625" style="11"/>
    <col min="15871" max="15871" width="2.42578125" style="11" customWidth="1"/>
    <col min="15872" max="15872" width="39.5703125" style="11" customWidth="1"/>
    <col min="15873" max="15873" width="5" style="11" bestFit="1" customWidth="1"/>
    <col min="15874" max="15877" width="15.28515625" style="11" customWidth="1"/>
    <col min="15878" max="15878" width="9.7109375" style="11" bestFit="1" customWidth="1"/>
    <col min="15879" max="15880" width="8.85546875" style="11" bestFit="1" customWidth="1"/>
    <col min="15881" max="15881" width="9" style="11" bestFit="1" customWidth="1"/>
    <col min="15882" max="16126" width="9.140625" style="11"/>
    <col min="16127" max="16127" width="2.42578125" style="11" customWidth="1"/>
    <col min="16128" max="16128" width="39.5703125" style="11" customWidth="1"/>
    <col min="16129" max="16129" width="5" style="11" bestFit="1" customWidth="1"/>
    <col min="16130" max="16133" width="15.28515625" style="11" customWidth="1"/>
    <col min="16134" max="16134" width="9.7109375" style="11" bestFit="1" customWidth="1"/>
    <col min="16135" max="16136" width="8.85546875" style="11" bestFit="1" customWidth="1"/>
    <col min="16137" max="16137" width="9" style="11" bestFit="1" customWidth="1"/>
    <col min="16138" max="16384" width="9.140625" style="11"/>
  </cols>
  <sheetData>
    <row r="1" spans="1:7" ht="16.5" hidden="1" thickBot="1" x14ac:dyDescent="0.3">
      <c r="A1" s="9" t="s">
        <v>145</v>
      </c>
      <c r="B1" s="102"/>
      <c r="C1" s="102"/>
      <c r="D1" s="102"/>
      <c r="E1" s="102"/>
    </row>
    <row r="2" spans="1:7" ht="13.5" hidden="1" thickTop="1" x14ac:dyDescent="0.2">
      <c r="A2" s="103"/>
      <c r="B2" s="104"/>
      <c r="C2" s="105"/>
      <c r="D2" s="13">
        <v>1998</v>
      </c>
      <c r="E2" s="14">
        <v>2001</v>
      </c>
    </row>
    <row r="3" spans="1:7" hidden="1" x14ac:dyDescent="0.2">
      <c r="A3" s="106" t="s">
        <v>146</v>
      </c>
      <c r="B3" s="83"/>
      <c r="C3" s="107"/>
      <c r="D3" s="108"/>
      <c r="E3" s="99"/>
    </row>
    <row r="4" spans="1:7" hidden="1" x14ac:dyDescent="0.2">
      <c r="A4" s="82"/>
      <c r="B4" s="110" t="s">
        <v>147</v>
      </c>
      <c r="C4" s="111"/>
      <c r="D4" s="112">
        <f>D6/D5</f>
        <v>13722523.161643384</v>
      </c>
      <c r="E4" s="113">
        <f>E6/E5</f>
        <v>10546306.47332624</v>
      </c>
    </row>
    <row r="5" spans="1:7" hidden="1" x14ac:dyDescent="0.2">
      <c r="A5" s="82"/>
      <c r="B5" s="83" t="s">
        <v>172</v>
      </c>
      <c r="C5" s="107"/>
      <c r="D5" s="114">
        <f>'Dem Res Cva (2)'!C15/'Dem Res Cva (2)'!C5</f>
        <v>0.68140501858553182</v>
      </c>
      <c r="E5" s="115">
        <f>'Dem Res Cva (2)'!D15/'Dem Res Cva (2)'!D5</f>
        <v>0.82289561107954889</v>
      </c>
    </row>
    <row r="6" spans="1:7" hidden="1" x14ac:dyDescent="0.2">
      <c r="A6" s="82"/>
      <c r="B6" s="83" t="s">
        <v>98</v>
      </c>
      <c r="C6" s="107"/>
      <c r="D6" s="116">
        <f>-('Dem Res Cva (2)'!C19+'Dem Res Cva (2)'!C21+'Dem Res Cva (2)'!C22)</f>
        <v>9350596.1500000004</v>
      </c>
      <c r="E6" s="117">
        <f>-('Dem Res Cva (2)'!D19+'Dem Res Cva (2)'!D21+'Dem Res Cva (2)'!D22)</f>
        <v>8678509.3099999987</v>
      </c>
    </row>
    <row r="7" spans="1:7" hidden="1" x14ac:dyDescent="0.2">
      <c r="A7" s="82"/>
      <c r="B7" s="118" t="s">
        <v>148</v>
      </c>
      <c r="C7" s="111"/>
      <c r="D7" s="119">
        <f>('Dem Res Cva (2)'!C5-'Análise 2.ª parte'!D4)/'Dem Res Cva (2)'!C5</f>
        <v>0.28761975471230944</v>
      </c>
      <c r="E7" s="120">
        <f>('Dem Res Cva (2)'!D5-'Análise 2.ª parte'!E4)/'Dem Res Cva (2)'!D5</f>
        <v>9.6545097529942073E-2</v>
      </c>
    </row>
    <row r="8" spans="1:7" hidden="1" x14ac:dyDescent="0.2">
      <c r="A8" s="82"/>
      <c r="B8" s="83"/>
      <c r="C8" s="107"/>
      <c r="D8" s="121"/>
      <c r="E8" s="122"/>
    </row>
    <row r="9" spans="1:7" hidden="1" x14ac:dyDescent="0.2">
      <c r="A9" s="106" t="s">
        <v>173</v>
      </c>
      <c r="B9" s="83"/>
      <c r="C9" s="107"/>
      <c r="D9" s="121"/>
      <c r="E9" s="122"/>
    </row>
    <row r="10" spans="1:7" hidden="1" x14ac:dyDescent="0.2">
      <c r="A10" s="82"/>
      <c r="B10" s="83" t="s">
        <v>149</v>
      </c>
      <c r="C10" s="107"/>
      <c r="D10" s="116">
        <f>-('Dem Res Cva (2)'!C19+'Dem Res Cva (2)'!C21+'Dem Res Cva (2)'!C22+'Dem Res Cva (2)'!C27)</f>
        <v>9910320.5800000001</v>
      </c>
      <c r="E10" s="117">
        <f>-('Dem Res Cva (2)'!D19+'Dem Res Cva (2)'!D21+'Dem Res Cva (2)'!D22+'Dem Res Cva (2)'!D27)</f>
        <v>8847057.2299999986</v>
      </c>
    </row>
    <row r="11" spans="1:7" hidden="1" x14ac:dyDescent="0.2">
      <c r="A11" s="82"/>
      <c r="B11" s="110" t="s">
        <v>150</v>
      </c>
      <c r="C11" s="111"/>
      <c r="D11" s="112">
        <f>D10/D5</f>
        <v>14543950.08796964</v>
      </c>
      <c r="E11" s="113">
        <f>E10/E5</f>
        <v>10751129.439606111</v>
      </c>
    </row>
    <row r="12" spans="1:7" hidden="1" x14ac:dyDescent="0.2">
      <c r="A12" s="82"/>
      <c r="B12" s="118" t="s">
        <v>151</v>
      </c>
      <c r="C12" s="111"/>
      <c r="D12" s="119">
        <f>('Dem Res Cva (2)'!C5-'Análise 2.ª parte'!D11)/'Dem Res Cva (2)'!C5</f>
        <v>0.24497684506885192</v>
      </c>
      <c r="E12" s="120">
        <f>('Dem Res Cva (2)'!D5-'Análise 2.ª parte'!E11)/'Dem Res Cva (2)'!D5</f>
        <v>7.8998830171598713E-2</v>
      </c>
    </row>
    <row r="13" spans="1:7" hidden="1" x14ac:dyDescent="0.2">
      <c r="A13" s="82"/>
      <c r="B13" s="123"/>
      <c r="C13" s="107"/>
      <c r="D13" s="114"/>
      <c r="E13" s="115"/>
    </row>
    <row r="14" spans="1:7" hidden="1" x14ac:dyDescent="0.2">
      <c r="A14" s="106" t="s">
        <v>152</v>
      </c>
      <c r="B14" s="123"/>
      <c r="C14" s="107"/>
      <c r="D14" s="121">
        <f>'Dem Res Cva (2)'!C15/'Dem Res Cva (2)'!C25</f>
        <v>3.476812644528696</v>
      </c>
      <c r="E14" s="122">
        <f>'Dem Res Cva (2)'!D15/'Dem Res Cva (2)'!D25</f>
        <v>10.357853744876753</v>
      </c>
    </row>
    <row r="15" spans="1:7" hidden="1" x14ac:dyDescent="0.2">
      <c r="A15" s="82"/>
      <c r="B15" s="123"/>
      <c r="C15" s="107"/>
      <c r="D15" s="114"/>
      <c r="E15" s="115"/>
    </row>
    <row r="16" spans="1:7" hidden="1" x14ac:dyDescent="0.2">
      <c r="A16" s="106" t="s">
        <v>153</v>
      </c>
      <c r="B16" s="123"/>
      <c r="C16" s="107"/>
      <c r="D16" s="121">
        <f>'Dem Res Cva (2)'!C25/'Dem Res Cva (2)'!C28</f>
        <v>1.1740691436836515</v>
      </c>
      <c r="E16" s="122">
        <f>'Dem Res Cva (2)'!D25/'Dem Res Cva (2)'!D28</f>
        <v>1.2221079390698553</v>
      </c>
      <c r="G16" s="124"/>
    </row>
    <row r="17" spans="1:5" hidden="1" x14ac:dyDescent="0.2">
      <c r="A17" s="82"/>
      <c r="B17" s="123"/>
      <c r="C17" s="107"/>
      <c r="D17" s="114"/>
      <c r="E17" s="115"/>
    </row>
    <row r="18" spans="1:5" hidden="1" x14ac:dyDescent="0.2">
      <c r="A18" s="106" t="s">
        <v>154</v>
      </c>
      <c r="B18" s="123"/>
      <c r="C18" s="107"/>
      <c r="D18" s="121">
        <f>'Dem Res Cva (2)'!C15/'Dem Res Cva (2)'!C28</f>
        <v>4.0820184443102976</v>
      </c>
      <c r="E18" s="122">
        <f>'Dem Res Cva (2)'!D15/'Dem Res Cva (2)'!D28</f>
        <v>12.65841529333831</v>
      </c>
    </row>
    <row r="19" spans="1:5" ht="13.5" hidden="1" thickBot="1" x14ac:dyDescent="0.25">
      <c r="A19" s="84"/>
      <c r="B19" s="85"/>
      <c r="C19" s="127"/>
      <c r="D19" s="128"/>
      <c r="E19" s="129"/>
    </row>
    <row r="20" spans="1:5" ht="14.25" hidden="1" thickTop="1" thickBot="1" x14ac:dyDescent="0.25">
      <c r="A20" s="104"/>
      <c r="B20" s="104"/>
      <c r="C20" s="104"/>
      <c r="D20" s="104"/>
      <c r="E20" s="104"/>
    </row>
    <row r="21" spans="1:5" ht="13.5" thickTop="1" x14ac:dyDescent="0.2">
      <c r="A21" s="103"/>
      <c r="B21" s="104"/>
      <c r="C21" s="105"/>
      <c r="D21" s="13">
        <v>2017</v>
      </c>
      <c r="E21" s="14">
        <v>2016</v>
      </c>
    </row>
    <row r="22" spans="1:5" x14ac:dyDescent="0.2">
      <c r="A22" s="106" t="s">
        <v>215</v>
      </c>
      <c r="B22" s="131"/>
      <c r="C22" s="132"/>
      <c r="D22" s="133"/>
      <c r="E22" s="134"/>
    </row>
    <row r="23" spans="1:5" x14ac:dyDescent="0.2">
      <c r="A23" s="82"/>
      <c r="B23" s="131" t="s">
        <v>38</v>
      </c>
      <c r="C23" s="132"/>
      <c r="D23" s="158">
        <f>+'Dem Res Cva (2)'!C25</f>
        <v>3775253.7200000011</v>
      </c>
      <c r="E23" s="159">
        <f>+'Dem Res Cva (2)'!D25</f>
        <v>927403.81999999937</v>
      </c>
    </row>
    <row r="24" spans="1:5" x14ac:dyDescent="0.2">
      <c r="A24" s="82"/>
      <c r="B24" s="135" t="s">
        <v>171</v>
      </c>
      <c r="C24" s="136"/>
      <c r="D24" s="133">
        <f>'Dem Res Cva (2)'!C32/'Dem Res Cva (2)'!C30</f>
        <v>0.64835787036877979</v>
      </c>
      <c r="E24" s="134">
        <f>'Dem Res Cva (2)'!D32/'Dem Res Cva (2)'!D30</f>
        <v>0.84105463444638995</v>
      </c>
    </row>
    <row r="25" spans="1:5" x14ac:dyDescent="0.2">
      <c r="A25" s="82"/>
      <c r="B25" s="123" t="s">
        <v>213</v>
      </c>
      <c r="C25" s="107"/>
      <c r="D25" s="160">
        <f>'Bal Funcional Equi'!C24</f>
        <v>27790858.09</v>
      </c>
      <c r="E25" s="161">
        <f>'Bal Funcional Equi'!D24</f>
        <v>16742846.51</v>
      </c>
    </row>
    <row r="26" spans="1:5" x14ac:dyDescent="0.2">
      <c r="A26" s="137"/>
      <c r="B26" s="138" t="s">
        <v>214</v>
      </c>
      <c r="C26" s="139"/>
      <c r="D26" s="140">
        <f>(D23*D24)/D25</f>
        <v>8.8076282282258042E-2</v>
      </c>
      <c r="E26" s="141">
        <f>(E23*E24)/E25</f>
        <v>4.6586897893880597E-2</v>
      </c>
    </row>
    <row r="27" spans="1:5" ht="16.5" thickBot="1" x14ac:dyDescent="0.3">
      <c r="A27" s="9"/>
      <c r="B27" s="102"/>
      <c r="C27" s="102"/>
      <c r="D27" s="102"/>
      <c r="E27" s="102"/>
    </row>
    <row r="28" spans="1:5" ht="13.5" thickTop="1" x14ac:dyDescent="0.2">
      <c r="A28" s="103"/>
      <c r="B28" s="104"/>
      <c r="C28" s="105"/>
      <c r="D28" s="13">
        <v>2017</v>
      </c>
      <c r="E28" s="14">
        <v>2016</v>
      </c>
    </row>
    <row r="29" spans="1:5" x14ac:dyDescent="0.2">
      <c r="A29" s="106" t="s">
        <v>155</v>
      </c>
      <c r="B29" s="83"/>
      <c r="C29" s="107"/>
      <c r="D29" s="108"/>
      <c r="E29" s="99"/>
    </row>
    <row r="30" spans="1:5" x14ac:dyDescent="0.2">
      <c r="A30" s="82"/>
      <c r="B30" s="123"/>
      <c r="C30" s="107"/>
      <c r="D30" s="121"/>
      <c r="E30" s="122"/>
    </row>
    <row r="31" spans="1:5" x14ac:dyDescent="0.2">
      <c r="A31" s="82"/>
      <c r="B31" s="130" t="s">
        <v>167</v>
      </c>
      <c r="C31" s="107"/>
      <c r="D31" s="121"/>
      <c r="E31" s="122"/>
    </row>
    <row r="32" spans="1:5" hidden="1" x14ac:dyDescent="0.2">
      <c r="A32" s="82"/>
      <c r="B32" s="131" t="s">
        <v>170</v>
      </c>
      <c r="C32" s="132"/>
      <c r="D32" s="133">
        <f>'Dem Res Cva (2)'!C15/'Dem Res Cva (2)'!C5</f>
        <v>0.68140501858553182</v>
      </c>
      <c r="E32" s="134">
        <f>'Dem Res Cva (2)'!D15/'Dem Res Cva (2)'!D5</f>
        <v>0.82289561107954889</v>
      </c>
    </row>
    <row r="33" spans="1:10" hidden="1" x14ac:dyDescent="0.2">
      <c r="A33" s="82"/>
      <c r="B33" s="131" t="s">
        <v>156</v>
      </c>
      <c r="C33" s="132"/>
      <c r="D33" s="133">
        <f>+'Dem Res Cva (2)'!C25/'Dem Res Cva (2)'!C15</f>
        <v>0.28761975471230961</v>
      </c>
      <c r="E33" s="134">
        <f>+'Dem Res Cva (2)'!D25/'Dem Res Cva (2)'!D15</f>
        <v>9.6545097529941906E-2</v>
      </c>
    </row>
    <row r="34" spans="1:10" x14ac:dyDescent="0.2">
      <c r="A34" s="82"/>
      <c r="B34" s="135" t="s">
        <v>157</v>
      </c>
      <c r="C34" s="136"/>
      <c r="D34" s="133">
        <f>+D32*D33</f>
        <v>0.19598554430530743</v>
      </c>
      <c r="E34" s="134">
        <f>+E32*E33</f>
        <v>7.9446537028636188E-2</v>
      </c>
      <c r="G34" s="124">
        <f>+'Dem Res Cva (2)'!C25/'Dem Res Cva (2)'!C5</f>
        <v>0.19598554430530743</v>
      </c>
    </row>
    <row r="35" spans="1:10" x14ac:dyDescent="0.2">
      <c r="A35" s="82"/>
      <c r="B35" s="123" t="s">
        <v>168</v>
      </c>
      <c r="C35" s="107"/>
      <c r="D35" s="121">
        <f>+'Dem Res Cva (2)'!C5/'Bal Funcional Equi'!C70</f>
        <v>0.86700237246023681</v>
      </c>
      <c r="E35" s="122">
        <f>+'Dem Res Cva (2)'!D5/'Bal Funcional Equi'!D70</f>
        <v>0.8167984658508668</v>
      </c>
    </row>
    <row r="36" spans="1:10" x14ac:dyDescent="0.2">
      <c r="A36" s="137"/>
      <c r="B36" s="138" t="s">
        <v>158</v>
      </c>
      <c r="C36" s="139"/>
      <c r="D36" s="140">
        <f>+D34*D35</f>
        <v>0.16991993188061238</v>
      </c>
      <c r="E36" s="141">
        <f>+E34*E35</f>
        <v>6.4891809562154124E-2</v>
      </c>
      <c r="G36" s="124">
        <f>+'Dem Res Cva (2)'!C25/'Bal Funcional Equi'!C70</f>
        <v>0.16991993188061238</v>
      </c>
      <c r="J36" s="170">
        <f>'Dem Res Cva (2)'!C25/'Bal Funcional Equi'!C70</f>
        <v>0.16991993188061238</v>
      </c>
    </row>
    <row r="37" spans="1:10" x14ac:dyDescent="0.2">
      <c r="A37" s="82"/>
      <c r="B37" s="123"/>
      <c r="C37" s="107"/>
      <c r="D37" s="121"/>
      <c r="E37" s="122"/>
    </row>
    <row r="38" spans="1:10" x14ac:dyDescent="0.2">
      <c r="A38" s="82"/>
      <c r="B38" s="130" t="s">
        <v>159</v>
      </c>
      <c r="C38" s="107"/>
      <c r="D38" s="121"/>
      <c r="E38" s="122"/>
    </row>
    <row r="39" spans="1:10" x14ac:dyDescent="0.2">
      <c r="A39" s="82"/>
      <c r="B39" s="83" t="s">
        <v>160</v>
      </c>
      <c r="C39" s="107"/>
      <c r="D39" s="121">
        <f>+'Bal Funcional Equi'!C70/'Bal Funcional Equi'!C67</f>
        <v>2.2500964518856548</v>
      </c>
      <c r="E39" s="122">
        <f>+'Bal Funcional Equi'!D70/'Bal Funcional Equi'!D67</f>
        <v>1.9002704015660987</v>
      </c>
    </row>
    <row r="40" spans="1:10" x14ac:dyDescent="0.2">
      <c r="A40" s="82"/>
      <c r="B40" s="83" t="s">
        <v>161</v>
      </c>
      <c r="C40" s="107"/>
      <c r="D40" s="121">
        <f>+'Dem Res Cva (2)'!C28/'Dem Res Cva (2)'!C25</f>
        <v>0.8517385925521318</v>
      </c>
      <c r="E40" s="122">
        <f>+'Dem Res Cva (2)'!D28/'Dem Res Cva (2)'!D25</f>
        <v>0.81825832893377537</v>
      </c>
    </row>
    <row r="41" spans="1:10" x14ac:dyDescent="0.2">
      <c r="A41" s="142"/>
      <c r="B41" s="138" t="s">
        <v>162</v>
      </c>
      <c r="C41" s="139"/>
      <c r="D41" s="143">
        <f>D39*D40</f>
        <v>1.9164939850356331</v>
      </c>
      <c r="E41" s="144">
        <f>E39*E40</f>
        <v>1.5549120833077903</v>
      </c>
    </row>
    <row r="42" spans="1:10" x14ac:dyDescent="0.2">
      <c r="A42" s="82"/>
      <c r="B42" s="83"/>
      <c r="C42" s="107"/>
      <c r="D42" s="121"/>
      <c r="E42" s="122"/>
    </row>
    <row r="43" spans="1:10" x14ac:dyDescent="0.2">
      <c r="A43" s="82"/>
      <c r="B43" s="130" t="s">
        <v>169</v>
      </c>
      <c r="C43" s="107"/>
      <c r="D43" s="121"/>
      <c r="E43" s="122"/>
    </row>
    <row r="44" spans="1:10" x14ac:dyDescent="0.2">
      <c r="A44" s="142"/>
      <c r="B44" s="138" t="s">
        <v>163</v>
      </c>
      <c r="C44" s="139"/>
      <c r="D44" s="143">
        <f>'Dem Res Cva (2)'!C30/'Dem Res Cva (2)'!C28</f>
        <v>0.9576830382409609</v>
      </c>
      <c r="E44" s="144">
        <f>'Dem Res Cva (2)'!D30/'Dem Res Cva (2)'!D28</f>
        <v>0.66572089641788357</v>
      </c>
    </row>
    <row r="45" spans="1:10" x14ac:dyDescent="0.2">
      <c r="A45" s="109"/>
      <c r="B45" s="110"/>
      <c r="C45" s="111"/>
      <c r="D45" s="125"/>
      <c r="E45" s="126"/>
    </row>
    <row r="46" spans="1:10" x14ac:dyDescent="0.2">
      <c r="A46" s="109"/>
      <c r="B46" s="130" t="s">
        <v>164</v>
      </c>
      <c r="C46" s="111"/>
      <c r="D46" s="125"/>
      <c r="E46" s="126"/>
    </row>
    <row r="47" spans="1:10" s="32" customFormat="1" x14ac:dyDescent="0.2">
      <c r="A47" s="142"/>
      <c r="B47" s="138" t="s">
        <v>165</v>
      </c>
      <c r="C47" s="139"/>
      <c r="D47" s="143">
        <f>'Dem Res Cva (2)'!C32/'Dem Res Cva (2)'!C30</f>
        <v>0.64835787036877979</v>
      </c>
      <c r="E47" s="144">
        <f>'Dem Res Cva (2)'!D32/'Dem Res Cva (2)'!D30</f>
        <v>0.84105463444638995</v>
      </c>
    </row>
    <row r="48" spans="1:10" x14ac:dyDescent="0.2">
      <c r="A48" s="109"/>
      <c r="B48" s="110"/>
      <c r="C48" s="111"/>
      <c r="D48" s="125"/>
      <c r="E48" s="126"/>
    </row>
    <row r="49" spans="1:5" ht="16.5" x14ac:dyDescent="0.3">
      <c r="A49" s="145"/>
      <c r="B49" s="146" t="s">
        <v>166</v>
      </c>
      <c r="C49" s="147"/>
      <c r="D49" s="148">
        <f>D36*D41*D44*D47</f>
        <v>0.20220336026132646</v>
      </c>
      <c r="E49" s="149">
        <f>E36*E41*E44*E47</f>
        <v>5.6495274226588586E-2</v>
      </c>
    </row>
    <row r="50" spans="1:5" ht="13.5" thickBot="1" x14ac:dyDescent="0.25">
      <c r="A50" s="150"/>
      <c r="B50" s="151"/>
      <c r="C50" s="152"/>
      <c r="D50" s="153"/>
      <c r="E50" s="154"/>
    </row>
    <row r="51" spans="1:5" ht="13.5" thickTop="1" x14ac:dyDescent="0.2">
      <c r="A51" s="155"/>
      <c r="B51" s="156"/>
      <c r="C51" s="155"/>
      <c r="D51" s="157"/>
      <c r="E51" s="157"/>
    </row>
  </sheetData>
  <printOptions horizontalCentered="1"/>
  <pageMargins left="0.39370078740157483" right="0.39370078740157483" top="0.98425196850393704" bottom="0.59055118110236227" header="0.59055118110236227" footer="0.19685039370078741"/>
  <pageSetup scale="58" orientation="portrait" horizontalDpi="4294967295" verticalDpi="300" r:id="rId1"/>
  <headerFooter alignWithMargins="0">
    <oddHeader>&amp;L&amp;G&amp;C&amp;"Arial Narrow,Negrito"&amp;16SECIL - Companhia Geral de Cal e Cimento, S.A.</oddHeader>
  </headerFooter>
  <rowBreaks count="1" manualBreakCount="1">
    <brk id="51" max="4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3</vt:i4>
      </vt:variant>
    </vt:vector>
  </HeadingPairs>
  <TitlesOfParts>
    <vt:vector size="9" baseType="lpstr">
      <vt:lpstr>Balanço</vt:lpstr>
      <vt:lpstr>Bal Funcional Equi</vt:lpstr>
      <vt:lpstr>Dem Res Cva (2)</vt:lpstr>
      <vt:lpstr>Análise 2.ª parte</vt:lpstr>
      <vt:lpstr>Sheet2</vt:lpstr>
      <vt:lpstr>Sheet3</vt:lpstr>
      <vt:lpstr>'Análise 2.ª parte'!Área_de_Impressão</vt:lpstr>
      <vt:lpstr>'Bal Funcional Equi'!Área_de_Impressão</vt:lpstr>
      <vt:lpstr>'Dem Res Cva (2)'!Área_de_Impressão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Samagaio</dc:creator>
  <cp:lastModifiedBy>Antonio Samagaio</cp:lastModifiedBy>
  <dcterms:created xsi:type="dcterms:W3CDTF">2014-05-13T19:14:21Z</dcterms:created>
  <dcterms:modified xsi:type="dcterms:W3CDTF">2019-11-26T21:09:56Z</dcterms:modified>
</cp:coreProperties>
</file>